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locum/Dropbox (MIT)/Ventilator Vecna/V2 Bottom Drive/"/>
    </mc:Choice>
  </mc:AlternateContent>
  <xr:revisionPtr revIDLastSave="0" documentId="13_ncr:1_{66408C21-B77F-8F4A-8D51-7BF96F1DED62}" xr6:coauthVersionLast="45" xr6:coauthVersionMax="45" xr10:uidLastSave="{00000000-0000-0000-0000-000000000000}"/>
  <bookViews>
    <workbookView xWindow="900" yWindow="460" windowWidth="29600" windowHeight="21440" activeTab="9" xr2:uid="{00000000-000D-0000-FFFF-FFFF00000000}"/>
  </bookViews>
  <sheets>
    <sheet name="System Analysis" sheetId="1" r:id="rId1"/>
    <sheet name="gearbox life" sheetId="12" r:id="rId2"/>
    <sheet name="Gears" sheetId="4" r:id="rId3"/>
    <sheet name="geartoothcontact stress" sheetId="10" r:id="rId4"/>
    <sheet name="Hex drive" sheetId="9" r:id="rId5"/>
    <sheet name="Motor Options" sheetId="6" r:id="rId6"/>
    <sheet name="Bearings" sheetId="3" r:id="rId7"/>
    <sheet name="lung compliance notes" sheetId="8" r:id="rId8"/>
    <sheet name="refs" sheetId="2" r:id="rId9"/>
    <sheet name="Revisions" sheetId="7" r:id="rId10"/>
    <sheet name="Bag fixture by Vee" sheetId="5" r:id="rId11"/>
    <sheet name="Expected Tidal Volume" sheetId="11" r:id="rId12"/>
  </sheets>
  <externalReferences>
    <externalReference r:id="rId13"/>
    <externalReference r:id="rId14"/>
    <externalReference r:id="rId15"/>
  </externalReferences>
  <definedNames>
    <definedName name="Ac" localSheetId="1">[1]Gears!$B$35</definedName>
    <definedName name="Ac">Gears!$B$37</definedName>
    <definedName name="adtca">'gearbox life'!#REF!</definedName>
    <definedName name="aldcacs">'gearbox life'!#REF!</definedName>
    <definedName name="alpha" localSheetId="1">'[1]geartoothcontact stress'!$C$37</definedName>
    <definedName name="alpha">'geartoothcontact stress'!$C$44</definedName>
    <definedName name="altmob">'gearbox life'!#REF!</definedName>
    <definedName name="altmrp">'gearbox life'!#REF!</definedName>
    <definedName name="altspanf">'gearbox life'!#REF!</definedName>
    <definedName name="Arcfing" localSheetId="1">'[1]System Analysis'!$C$10</definedName>
    <definedName name="Arcfing">'System Analysis'!$C$10</definedName>
    <definedName name="Areabag" localSheetId="1">'[1]System Analysis'!$C$32</definedName>
    <definedName name="Areabag">'System Analysis'!$C$34</definedName>
    <definedName name="b" localSheetId="1">[1]Gears!$B$28</definedName>
    <definedName name="b">Gears!$B$29</definedName>
    <definedName name="b_1" localSheetId="1">'[1]geartoothcontact stress'!$E$19</definedName>
    <definedName name="b_1">'geartoothcontact stress'!$F$20</definedName>
    <definedName name="b_2" localSheetId="1">'[1]geartoothcontact stress'!$E$21</definedName>
    <definedName name="b_2">'geartoothcontact stress'!$F$22</definedName>
    <definedName name="Bag1eD">'Bag fixture by Vee'!$A$4</definedName>
    <definedName name="Bag2eD" localSheetId="1">'[1]Bag fixture by Vee'!$B$5</definedName>
    <definedName name="Bag2eD">'Bag fixture by Vee'!$B$5</definedName>
    <definedName name="beta" localSheetId="1">'[1]geartoothcontact stress'!$C$38</definedName>
    <definedName name="beta">'geartoothcontact stress'!$C$45</definedName>
    <definedName name="Bgeartooth" localSheetId="1">'[1]geartoothcontact stress'!$C$17</definedName>
    <definedName name="Bgeartooth">'geartoothcontact stress'!$C$18</definedName>
    <definedName name="blife">Gears!$C$90</definedName>
    <definedName name="blifech">Gears!$C$99</definedName>
    <definedName name="bpdavg" localSheetId="1">'[1]System Analysis'!$C$37</definedName>
    <definedName name="bpdavg">'System Analysis'!$C$39</definedName>
    <definedName name="cc" localSheetId="1">[1]Gears!$B$38</definedName>
    <definedName name="cc">Gears!$B$40</definedName>
    <definedName name="ccgeartooth" localSheetId="1">'[1]geartoothcontact stress'!$C$41</definedName>
    <definedName name="ccgeartooth">'geartoothcontact stress'!$C$48</definedName>
    <definedName name="Chexpres" localSheetId="1">'[1]Hex drive'!$C$7</definedName>
    <definedName name="Chexpres">'Hex drive'!$C$7</definedName>
    <definedName name="cmh2O" localSheetId="1">'[1]System Analysis'!$C$29</definedName>
    <definedName name="cmh2O">'System Analysis'!$C$31</definedName>
    <definedName name="cmH2Omax" localSheetId="1">'[1]System Analysis'!$C$103</definedName>
    <definedName name="cmH2Omax">'System Analysis'!$C$110</definedName>
    <definedName name="csets">Gears!$B$50</definedName>
    <definedName name="Ctol" localSheetId="1">[1]Gears!$B$14</definedName>
    <definedName name="Ctol">Gears!$B$15</definedName>
    <definedName name="d_1" localSheetId="1">'[1]geartoothcontact stress'!$C$7</definedName>
    <definedName name="d_1">'geartoothcontact stress'!$C$7</definedName>
    <definedName name="d_2" localSheetId="1">'[1]geartoothcontact stress'!$C$8</definedName>
    <definedName name="d_2">'geartoothcontact stress'!$C$8</definedName>
    <definedName name="Dbag" localSheetId="1">'[1]System Analysis'!$C$30</definedName>
    <definedName name="Dbag">'System Analysis'!$C$32</definedName>
    <definedName name="dbbcl">'gearbox life'!$C$6</definedName>
    <definedName name="Dbear" localSheetId="1">'[1]System Analysis'!$C$57</definedName>
    <definedName name="Dbear">'System Analysis'!$C$62</definedName>
    <definedName name="Dbearing" localSheetId="1">[1]Bearings!$C$5</definedName>
    <definedName name="Dbearing">Bearings!$C$8</definedName>
    <definedName name="dcacs">'gearbox life'!$C$14</definedName>
    <definedName name="dcagbf">'gearbox life'!$C$13</definedName>
    <definedName name="dcoshs">'gearbox life'!#REF!</definedName>
    <definedName name="dcsm">Gears!$C$75</definedName>
    <definedName name="dd" localSheetId="1">'[1]geartoothcontact stress'!$C$42</definedName>
    <definedName name="dd">'geartoothcontact stress'!$C$49</definedName>
    <definedName name="dddgbg">'gearbox life'!$C$11</definedName>
    <definedName name="defl_1" localSheetId="1">'[1]geartoothcontact stress'!$C$19</definedName>
    <definedName name="defl_1">'geartoothcontact stress'!$C$20</definedName>
    <definedName name="defl_2" localSheetId="1">'[1]geartoothcontact stress'!$C$20</definedName>
    <definedName name="defl_2">'geartoothcontact stress'!$C$21</definedName>
    <definedName name="dffhs">'gearbox life'!#REF!</definedName>
    <definedName name="Dg" localSheetId="1">[1]Gears!$B$24</definedName>
    <definedName name="Dg">Gears!$B$25</definedName>
    <definedName name="Dgear" localSheetId="1">'[1]System Analysis'!$C$54</definedName>
    <definedName name="Dgear">'System Analysis'!$C$58</definedName>
    <definedName name="Dgp" localSheetId="1">'[1]System Analysis'!#REF!</definedName>
    <definedName name="Dgp">'System Analysis'!#REF!</definedName>
    <definedName name="do" localSheetId="1">'[1]geartoothcontact stress'!$C$16</definedName>
    <definedName name="do">'geartoothcontact stress'!$C$17</definedName>
    <definedName name="Dolm" localSheetId="1">'[1]System Analysis'!$C$38</definedName>
    <definedName name="Dolm">'System Analysis'!$C$40</definedName>
    <definedName name="Dp" localSheetId="1">[1]Gears!$B$23</definedName>
    <definedName name="Dp">Gears!$B$24</definedName>
    <definedName name="Dpinion" localSheetId="1">'[1]System Analysis'!#REF!</definedName>
    <definedName name="Dpinion">'System Analysis'!$C$80</definedName>
    <definedName name="drlc">'gearbox life'!$C$7</definedName>
    <definedName name="E1e" localSheetId="1">'[1]geartoothcontact stress'!$E$12</definedName>
    <definedName name="E1e">'geartoothcontact stress'!$F$12</definedName>
    <definedName name="E2e" localSheetId="1">'[1]geartoothcontact stress'!$E$13</definedName>
    <definedName name="E2e">'geartoothcontact stress'!$F$13</definedName>
    <definedName name="Ee" localSheetId="1">'[1]geartoothcontact stress'!$E$11</definedName>
    <definedName name="Ee">'geartoothcontact stress'!$F$11</definedName>
    <definedName name="Ela" localSheetId="1">[1]Bearings!$C$6</definedName>
    <definedName name="Ela">Bearings!$C$10</definedName>
    <definedName name="Eone" localSheetId="1">'[1]geartoothcontact stress'!$C$11</definedName>
    <definedName name="Eone">'geartoothcontact stress'!$C$11</definedName>
    <definedName name="etamech" localSheetId="1">'[1]System Analysis'!$C$45</definedName>
    <definedName name="etamech">'System Analysis'!$C$47</definedName>
    <definedName name="Etwo" localSheetId="1">'[1]geartoothcontact stress'!$C$12</definedName>
    <definedName name="Etwo">'geartoothcontact stress'!$C$12</definedName>
    <definedName name="exp_1">Gears!$C$86</definedName>
    <definedName name="exp_1ch">Gears!$C$95</definedName>
    <definedName name="exp_2">Gears!$C$88</definedName>
    <definedName name="exp_2ch">Gears!$C$97</definedName>
    <definedName name="expr" localSheetId="1">'[1]System Analysis'!$C$14</definedName>
    <definedName name="expr">'System Analysis'!$C$14</definedName>
    <definedName name="f" localSheetId="1">[1]Gears!$C$10</definedName>
    <definedName name="f">Gears!$C$10</definedName>
    <definedName name="farm">'[1]Arm structure'!$C$2</definedName>
    <definedName name="Fbag" localSheetId="1">'[1]System Analysis'!$C$33</definedName>
    <definedName name="Fbag">'System Analysis'!$C$35</definedName>
    <definedName name="Fbear" localSheetId="1">'[1]System Analysis'!$C$69</definedName>
    <definedName name="Fbear">'System Analysis'!$C$74</definedName>
    <definedName name="Fbearing" localSheetId="1">[1]Bearings!$C$3</definedName>
    <definedName name="Fbearing">Bearings!$C$3</definedName>
    <definedName name="Fbh" localSheetId="1">'[1]System Analysis'!#REF!</definedName>
    <definedName name="Fbh">'System Analysis'!#REF!</definedName>
    <definedName name="Fbv" localSheetId="1">'[1]System Analysis'!#REF!</definedName>
    <definedName name="Fbv">'System Analysis'!#REF!</definedName>
    <definedName name="Fbx" localSheetId="1">'[1]System Analysis'!$C$67</definedName>
    <definedName name="Fbx">'System Analysis'!$C$72</definedName>
    <definedName name="Fby" localSheetId="1">'[1]System Analysis'!$C$68</definedName>
    <definedName name="Fby">'System Analysis'!$C$73</definedName>
    <definedName name="fcob" localSheetId="1">[1]Bearings!$C$10</definedName>
    <definedName name="fcob">Bearings!$C$14</definedName>
    <definedName name="Ffinger" localSheetId="1">'[1]System Analysis'!$C$60</definedName>
    <definedName name="Ffinger">'System Analysis'!$C$65</definedName>
    <definedName name="Fgear" localSheetId="1">'[1]System Analysis'!$C$62</definedName>
    <definedName name="Fgear">'System Analysis'!$C$67</definedName>
    <definedName name="Fgearunder" localSheetId="1">'[1]System Analysis'!#REF!</definedName>
    <definedName name="Fgearunder">'System Analysis'!#REF!</definedName>
    <definedName name="Fgtg" localSheetId="1">'[1]System Analysis'!$C$61</definedName>
    <definedName name="Fgtg">'System Analysis'!$C$66</definedName>
    <definedName name="flngbear">Bearings!$C$6</definedName>
    <definedName name="Fnetbear" localSheetId="1">[1]Bearings!$C$11</definedName>
    <definedName name="Fnetbear">Bearings!$C$15</definedName>
    <definedName name="Fp" localSheetId="1">[1]Gears!$B$30</definedName>
    <definedName name="Fp">Gears!$B$31</definedName>
    <definedName name="Fperbear">'System Analysis'!$C$75</definedName>
    <definedName name="Fradmaxm" localSheetId="1">'[1]System Analysis'!$C$87</definedName>
    <definedName name="Fradmaxm">'System Analysis'!$C$94</definedName>
    <definedName name="Fsp" localSheetId="1">[1]Gears!$B$32</definedName>
    <definedName name="Fsp">Gears!$B$34</definedName>
    <definedName name="Ftoothcontact" localSheetId="1">'[1]geartoothcontact stress'!$C$10</definedName>
    <definedName name="Ftoothcontact">'geartoothcontact stress'!$C$10</definedName>
    <definedName name="gosn" localSheetId="1">'[1]System Analysis'!#REF!</definedName>
    <definedName name="gosn">'System Analysis'!$C$85</definedName>
    <definedName name="hcpf" localSheetId="1">'[1]Hex drive'!$C$9</definedName>
    <definedName name="hcpf">'Hex drive'!$C$9</definedName>
    <definedName name="hsd" localSheetId="1">'[1]Hex drive'!$C$2</definedName>
    <definedName name="hsd">'Hex drive'!$C$2</definedName>
    <definedName name="I" localSheetId="1">[1]Gears!$B$37</definedName>
    <definedName name="I">Gears!$B$39</definedName>
    <definedName name="ier">'System Analysis'!$C$12</definedName>
    <definedName name="insp" localSheetId="1">'[1]System Analysis'!$C$13</definedName>
    <definedName name="insp">'System Analysis'!$C$13</definedName>
    <definedName name="Iocarm">'[1]Arm structure'!$C$6</definedName>
    <definedName name="L" localSheetId="1">'[1]geartoothcontact stress'!$C$9</definedName>
    <definedName name="L">'geartoothcontact stress'!$C$9</definedName>
    <definedName name="lambda" localSheetId="1">'[1]geartoothcontact stress'!$C$39</definedName>
    <definedName name="lambda">'geartoothcontact stress'!$C$46</definedName>
    <definedName name="larm">'[1]Arm structure'!$C$3</definedName>
    <definedName name="Lbag" localSheetId="1">'[1]System Analysis'!$C$31</definedName>
    <definedName name="Lbag">'System Analysis'!$C$33</definedName>
    <definedName name="LCA" localSheetId="1">'[1]System Analysis'!#REF!</definedName>
    <definedName name="LCA">'System Analysis'!#REF!</definedName>
    <definedName name="LCNL" localSheetId="1">'[1]System Analysis'!#REF!</definedName>
    <definedName name="LCNL">'System Analysis'!#REF!</definedName>
    <definedName name="LCNU" localSheetId="1">'[1]System Analysis'!#REF!</definedName>
    <definedName name="LCNU">'System Analysis'!#REF!</definedName>
    <definedName name="mcbp">'gearbox life'!$C$8</definedName>
    <definedName name="mdf">Gears!$C$76</definedName>
    <definedName name="mlife">Gears!$C$89</definedName>
    <definedName name="mlifech">Gears!$C$98</definedName>
    <definedName name="mob">'gearbox life'!$C$16</definedName>
    <definedName name="mrp">'gearbox life'!$C$19</definedName>
    <definedName name="mu" localSheetId="1">'[1]System Analysis'!$C$59</definedName>
    <definedName name="mu">'System Analysis'!$C$64</definedName>
    <definedName name="Nema34Tas">'Motor Options'!$D$59</definedName>
    <definedName name="NemaTas" localSheetId="1">'[1]System Analysis'!$C$89</definedName>
    <definedName name="NemaTas">'System Analysis'!$C$96</definedName>
    <definedName name="Ng" localSheetId="1">[1]Gears!$B$13</definedName>
    <definedName name="Ng">Gears!$B$14</definedName>
    <definedName name="Nhftt" localSheetId="1">'[1]Hex drive'!$C$8</definedName>
    <definedName name="Nhftt">'Hex drive'!$C$8</definedName>
    <definedName name="NMr">'System Analysis'!$C$99</definedName>
    <definedName name="NMsize" localSheetId="1">'[1]System Analysis'!$C$83</definedName>
    <definedName name="NMsize">'System Analysis'!$C$90</definedName>
    <definedName name="Nodoms">'System Analysis'!$C$43</definedName>
    <definedName name="Noms" localSheetId="1">'[1]System Analysis'!$C$40</definedName>
    <definedName name="Noms">'System Analysis'!$C$42</definedName>
    <definedName name="Np" localSheetId="1">[1]Gears!$B$12</definedName>
    <definedName name="Np">Gears!$B$13</definedName>
    <definedName name="numtfg">Gears!$C$66</definedName>
    <definedName name="numtpc">Gears!$C$61</definedName>
    <definedName name="ovszf" localSheetId="1">'[1]System Analysis'!$C$46</definedName>
    <definedName name="ovszf">'System Analysis'!$C$48</definedName>
    <definedName name="P" localSheetId="1">[1]Gears!$B$11</definedName>
    <definedName name="P">Gears!$B$11</definedName>
    <definedName name="pap" localSheetId="1">'[1]System Analysis'!$C$22</definedName>
    <definedName name="pap">'System Analysis'!$C$24</definedName>
    <definedName name="papeta" localSheetId="1">'[1]System Analysis'!$C$24</definedName>
    <definedName name="papeta">'System Analysis'!$C$26</definedName>
    <definedName name="Pbaginhale" localSheetId="1">'[1]System Analysis'!$C$44</definedName>
    <definedName name="Pbaginhale">'System Analysis'!$C$46</definedName>
    <definedName name="pbagmm" localSheetId="1">'[1]System Analysis'!$C$25</definedName>
    <definedName name="pbagmm">'System Analysis'!$C$27</definedName>
    <definedName name="pcr" localSheetId="1">'[1]System Analysis'!$C$18</definedName>
    <definedName name="pcr">'System Analysis'!$C$18</definedName>
    <definedName name="pcri" localSheetId="1">'[1]System Analysis'!#REF!</definedName>
    <definedName name="pcri">'System Analysis'!#REF!</definedName>
    <definedName name="PFPL" localSheetId="1">'[1]System Analysis'!$C$99</definedName>
    <definedName name="PFPL">'System Analysis'!$C$106</definedName>
    <definedName name="PFPLr" localSheetId="1">'[1]System Analysis'!$C$93</definedName>
    <definedName name="PFPLr">'System Analysis'!$C$100</definedName>
    <definedName name="phi" localSheetId="1">'[1]geartoothcontact stress'!$C$34</definedName>
    <definedName name="phi">'geartoothcontact stress'!$C$41</definedName>
    <definedName name="pinioncsr">Gears!$C$70</definedName>
    <definedName name="pinionfw">Gears!$C$59</definedName>
    <definedName name="pinionhertzdays">Gears!$C$72</definedName>
    <definedName name="pinionhertzfl">Gears!$C$71</definedName>
    <definedName name="pomsl">'System Analysis'!$C$102</definedName>
    <definedName name="Q" localSheetId="1">[1]Gears!$B$36</definedName>
    <definedName name="Q">Gears!$B$38</definedName>
    <definedName name="qcyl" localSheetId="1">'[1]geartoothcontact stress'!$C$18</definedName>
    <definedName name="qcyl">'geartoothcontact stress'!$C$19</definedName>
    <definedName name="qgeartooth" localSheetId="1">'[1]geartoothcontact stress'!$C$43</definedName>
    <definedName name="qgeartooth">'geartoothcontact stress'!$C$50</definedName>
    <definedName name="R_1" localSheetId="1">'[1]System Analysis'!$C$50</definedName>
    <definedName name="R_1">'System Analysis'!$C$54</definedName>
    <definedName name="R_2" localSheetId="1">'[1]System Analysis'!$C$52</definedName>
    <definedName name="R_2">'System Analysis'!$C$56</definedName>
    <definedName name="R_2g" localSheetId="1">'[1]System Analysis'!#REF!</definedName>
    <definedName name="R_2g">'System Analysis'!#REF!</definedName>
    <definedName name="Ra" localSheetId="1">'[1]geartoothcontact stress'!$C$25</definedName>
    <definedName name="Ra">'geartoothcontact stress'!$C$26</definedName>
    <definedName name="Rch">Gears!$C$78</definedName>
    <definedName name="re" localSheetId="1">'[1]geartoothcontact stress'!$C$40</definedName>
    <definedName name="re">'geartoothcontact stress'!$C$47</definedName>
    <definedName name="Resprate">'System Analysis'!$C$8</definedName>
    <definedName name="resprateavg" localSheetId="1">'[1]System Analysis'!$C$9</definedName>
    <definedName name="resprateavg">'System Analysis'!$C$9</definedName>
    <definedName name="Rgear" localSheetId="1">'[1]System Analysis'!$C$55</definedName>
    <definedName name="Rgear">'System Analysis'!$C$60</definedName>
    <definedName name="Ronemaj" localSheetId="1">'[1]geartoothcontact stress'!$C$30</definedName>
    <definedName name="Ronemaj">'geartoothcontact stress'!$C$37</definedName>
    <definedName name="Ronemin" localSheetId="1">'[1]geartoothcontact stress'!$C$31</definedName>
    <definedName name="Ronemin">'geartoothcontact stress'!$C$38</definedName>
    <definedName name="rotlifefing">Gears!$C$65</definedName>
    <definedName name="rotlifepin">Gears!$C$60</definedName>
    <definedName name="Rpmarm">'[1]System Analysis'!$C$20</definedName>
    <definedName name="Rpmfing">'System Analysis'!$C$20</definedName>
    <definedName name="Rpmgmr" localSheetId="1">'[1]System Analysis'!#REF!</definedName>
    <definedName name="Rpmgmr">'System Analysis'!$C$22</definedName>
    <definedName name="rslgm">'gearbox life'!$C$15</definedName>
    <definedName name="Rtwomaj" localSheetId="1">'[1]geartoothcontact stress'!$C$32</definedName>
    <definedName name="Rtwomaj">'geartoothcontact stress'!$C$39</definedName>
    <definedName name="Rtwomin" localSheetId="1">'[1]geartoothcontact stress'!$C$33</definedName>
    <definedName name="Rtwomin">'geartoothcontact stress'!$C$40</definedName>
    <definedName name="sbb">'gearbox life'!$C$4</definedName>
    <definedName name="scf" localSheetId="1">[1]Gears!$B$20</definedName>
    <definedName name="scf">Gears!$B$21</definedName>
    <definedName name="sigbear" localSheetId="1">[1]Bearings!$C$12</definedName>
    <definedName name="sigbear">Bearings!$C$17</definedName>
    <definedName name="sigbeartwist" localSheetId="1">[1]Bearings!$C$19</definedName>
    <definedName name="sigbeartwist">Bearings!#REF!</definedName>
    <definedName name="sigg" localSheetId="1">[1]Gears!$B$19</definedName>
    <definedName name="sigg">Gears!$B$20</definedName>
    <definedName name="sighardened">Gears!$C$80</definedName>
    <definedName name="sighardmpa">Gears!$C$79</definedName>
    <definedName name="siginfinte">Gears!$C$87</definedName>
    <definedName name="siginfintech">Gears!$C$96</definedName>
    <definedName name="sigmax1">Gears!$C$85</definedName>
    <definedName name="sigmax1ch">Gears!$C$94</definedName>
    <definedName name="sigp">Gears!$B$18</definedName>
    <definedName name="sigult" localSheetId="1">'[1]geartoothcontact stress'!$C$15</definedName>
    <definedName name="sigult">'geartoothcontact stress'!$C$16</definedName>
    <definedName name="sob" localSheetId="1">[1]Bearings!$C$9</definedName>
    <definedName name="sob">Bearings!$C$13</definedName>
    <definedName name="spb" localSheetId="1">'[1]System Analysis'!$C$11</definedName>
    <definedName name="spb">'System Analysis'!$C$11</definedName>
    <definedName name="T" localSheetId="1">[1]Gears!$B$8</definedName>
    <definedName name="T">Gears!$B$8</definedName>
    <definedName name="tcpob" localSheetId="1">[1]Bearings!$C$20</definedName>
    <definedName name="tcpob">Bearings!#REF!</definedName>
    <definedName name="tgear" localSheetId="1">'[1]System Analysis'!$C$64</definedName>
    <definedName name="tgear">'System Analysis'!$C$69</definedName>
    <definedName name="tgm" localSheetId="1">'[1]System Analysis'!$C$76</definedName>
    <definedName name="tgm">'System Analysis'!$C$83</definedName>
    <definedName name="theta_1" localSheetId="1">'[1]geartoothcontact stress'!$C$36</definedName>
    <definedName name="theta_1">'geartoothcontact stress'!$C$43</definedName>
    <definedName name="Thetapingear" localSheetId="1">'[1]System Analysis'!#REF!</definedName>
    <definedName name="Thetapingear">'System Analysis'!$C$53</definedName>
    <definedName name="tinsp" localSheetId="1">'[1]System Analysis'!$C$16</definedName>
    <definedName name="tinsp">'System Analysis'!$C$16</definedName>
    <definedName name="Tlsbf" localSheetId="1">'[1]System Analysis'!$C$73</definedName>
    <definedName name="Tlsbf">'System Analysis'!$C$77</definedName>
    <definedName name="tmcd" localSheetId="1">'[1]System Analysis'!$C$39</definedName>
    <definedName name="tmcd">'System Analysis'!$C$41</definedName>
    <definedName name="tmof" localSheetId="1">[1]Bearings!$C$8</definedName>
    <definedName name="tmof">Bearings!$C$12</definedName>
    <definedName name="tpb" localSheetId="1">'[1]System Analysis'!$C$15</definedName>
    <definedName name="tpb">'System Analysis'!$C$15</definedName>
    <definedName name="trpf" localSheetId="1">'[1]System Analysis'!#REF!</definedName>
    <definedName name="trpf">'System Analysis'!$C$82</definedName>
    <definedName name="trtp">'System Analysis'!$C$19</definedName>
    <definedName name="Tstallsm" localSheetId="1">'[1]System Analysis'!$C$84</definedName>
    <definedName name="Tstallsm">'System Analysis'!$C$91</definedName>
    <definedName name="Tstallsmm" localSheetId="1">'[1]System Analysis'!$C$85</definedName>
    <definedName name="Tstallsmm">'System Analysis'!$C$92</definedName>
    <definedName name="tt" localSheetId="1">[1]Gears!$B$26</definedName>
    <definedName name="tt">Gears!$B$27</definedName>
    <definedName name="ttbt" localSheetId="1">'[1]Hex drive'!$C$6</definedName>
    <definedName name="ttbt">'Hex drive'!$C$6</definedName>
    <definedName name="vone" localSheetId="1">'[1]geartoothcontact stress'!$C$13</definedName>
    <definedName name="vone">'geartoothcontact stress'!$C$13</definedName>
    <definedName name="Vrbagsides" localSheetId="1">'[1]System Analysis'!$C$43</definedName>
    <definedName name="Vrbagsides">'System Analysis'!$C$45</definedName>
    <definedName name="vtwo" localSheetId="1">'[1]geartoothcontact stress'!$C$14</definedName>
    <definedName name="vtwo">'geartoothcontact stress'!$C$14</definedName>
    <definedName name="w" localSheetId="1">[1]Gears!$B$15</definedName>
    <definedName name="w">Gears!$B$16</definedName>
    <definedName name="waboff">'gearbox life'!$C$3</definedName>
    <definedName name="wbearing">Bearings!$C$4</definedName>
    <definedName name="wcf" localSheetId="1">'[1]Hex drive'!$C$4</definedName>
    <definedName name="wcf">'Hex drive'!$C$4</definedName>
    <definedName name="wfree34" localSheetId="1">'[1]System Analysis'!$C$86</definedName>
    <definedName name="wfree34">'System Analysis'!$C$93</definedName>
    <definedName name="woac">'gearbox life'!$C$12</definedName>
    <definedName name="wob">'gearbox life'!$C$5</definedName>
    <definedName name="wscdf" localSheetId="1">[1]Bearings!$C$18</definedName>
    <definedName name="wscdf">Bearings!#REF!</definedName>
    <definedName name="xpramp" localSheetId="1">'[1]System Analysis'!$C$80</definedName>
    <definedName name="xpramp">'System Analysis'!$C$87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7" i="10" l="1"/>
  <c r="D15" i="10"/>
  <c r="C15" i="10"/>
  <c r="D14" i="10"/>
  <c r="D13" i="10"/>
  <c r="D11" i="10"/>
  <c r="D7" i="10"/>
  <c r="C11" i="9" l="1"/>
  <c r="C4" i="9"/>
  <c r="C2" i="9"/>
  <c r="C59" i="4"/>
  <c r="C16" i="4"/>
  <c r="B20" i="4"/>
  <c r="C79" i="4"/>
  <c r="C80" i="4" s="1"/>
  <c r="C10" i="1"/>
  <c r="C12" i="4"/>
  <c r="B12" i="4"/>
  <c r="C66" i="4"/>
  <c r="C57" i="4"/>
  <c r="C56" i="4"/>
  <c r="B19" i="4"/>
  <c r="C24" i="3"/>
  <c r="C6" i="3"/>
  <c r="C4" i="3"/>
  <c r="C9" i="3"/>
  <c r="C8" i="3"/>
  <c r="C62" i="1"/>
  <c r="C64" i="4" l="1"/>
  <c r="D9" i="10"/>
  <c r="C94" i="4"/>
  <c r="F10" i="10"/>
  <c r="C96" i="4"/>
  <c r="C98" i="4" s="1" a="1"/>
  <c r="C98" i="4" s="1"/>
  <c r="C99" i="4" s="1" a="1"/>
  <c r="C99" i="4" s="1"/>
  <c r="C85" i="4"/>
  <c r="C12" i="12"/>
  <c r="C13" i="12" s="1"/>
  <c r="C14" i="12" s="1"/>
  <c r="C5" i="12"/>
  <c r="C6" i="12" s="1"/>
  <c r="C8" i="12" s="1"/>
  <c r="C87" i="4" l="1"/>
  <c r="C89" i="4" s="1"/>
  <c r="C90" i="4" s="1"/>
  <c r="D71" i="4" l="1"/>
  <c r="D72" i="4" s="1"/>
  <c r="C71" i="4"/>
  <c r="C12" i="10"/>
  <c r="D12" i="10" s="1"/>
  <c r="C20" i="4" l="1"/>
  <c r="C81" i="4" s="1"/>
  <c r="G10" i="10" s="1"/>
  <c r="C18" i="4"/>
  <c r="D16" i="10" l="1"/>
  <c r="C16" i="10"/>
  <c r="C24" i="1"/>
  <c r="C9" i="10" l="1"/>
  <c r="C56" i="1"/>
  <c r="C18" i="10" l="1"/>
  <c r="C19" i="10" s="1"/>
  <c r="C7" i="10"/>
  <c r="C10" i="10" a="1"/>
  <c r="C10" i="10" s="1"/>
  <c r="B48" i="4" l="1"/>
  <c r="C24" i="10"/>
  <c r="F12" i="6"/>
  <c r="C57" i="1"/>
  <c r="C11" i="1" l="1"/>
  <c r="C8" i="10" l="1"/>
  <c r="D8" i="10" s="1"/>
  <c r="C27" i="10"/>
  <c r="C56" i="10"/>
  <c r="C75" i="4" s="1"/>
  <c r="C77" i="4" s="1"/>
  <c r="C40" i="10"/>
  <c r="F12" i="10"/>
  <c r="F20" i="10" s="1"/>
  <c r="C20" i="10" s="1"/>
  <c r="F13" i="10"/>
  <c r="F11" i="10"/>
  <c r="C37" i="10" l="1"/>
  <c r="C38" i="10"/>
  <c r="C47" i="10" s="1"/>
  <c r="C42" i="10" s="1"/>
  <c r="C43" i="10" s="1"/>
  <c r="F22" i="10"/>
  <c r="F78" i="1"/>
  <c r="K94" i="1"/>
  <c r="H94" i="1"/>
  <c r="G94" i="1"/>
  <c r="K93" i="1"/>
  <c r="J93" i="1"/>
  <c r="I93" i="1"/>
  <c r="H93" i="1"/>
  <c r="G93" i="1"/>
  <c r="K91" i="1"/>
  <c r="J91" i="1"/>
  <c r="I91" i="1"/>
  <c r="C91" i="1" s="1"/>
  <c r="H91" i="1"/>
  <c r="F7" i="6"/>
  <c r="G91" i="1"/>
  <c r="D19" i="6"/>
  <c r="F18" i="6"/>
  <c r="F20" i="6" s="1"/>
  <c r="D17" i="6"/>
  <c r="F14" i="6"/>
  <c r="J94" i="1" s="1"/>
  <c r="F9" i="6"/>
  <c r="I94" i="1" s="1"/>
  <c r="D29" i="6"/>
  <c r="D24" i="6"/>
  <c r="F23" i="6"/>
  <c r="F22" i="6"/>
  <c r="F27" i="6"/>
  <c r="F28" i="6"/>
  <c r="F13" i="6"/>
  <c r="F15" i="6" s="1"/>
  <c r="C21" i="10" l="1"/>
  <c r="C22" i="10" s="1"/>
  <c r="B49" i="4"/>
  <c r="B50" i="4" s="1"/>
  <c r="C70" i="4"/>
  <c r="C93" i="1"/>
  <c r="C94" i="1"/>
  <c r="C46" i="10"/>
  <c r="C53" i="10" s="1"/>
  <c r="C54" i="10" s="1"/>
  <c r="C45" i="10"/>
  <c r="C49" i="10" s="1"/>
  <c r="C44" i="10"/>
  <c r="C48" i="10" s="1"/>
  <c r="C55" i="10" s="1"/>
  <c r="C92" i="1"/>
  <c r="F25" i="6"/>
  <c r="F30" i="6"/>
  <c r="F8" i="6"/>
  <c r="C5" i="9"/>
  <c r="C3" i="9"/>
  <c r="C7" i="9"/>
  <c r="B7" i="5"/>
  <c r="G54" i="1"/>
  <c r="C39" i="1"/>
  <c r="C41" i="1" s="1"/>
  <c r="C19" i="8"/>
  <c r="E10" i="8"/>
  <c r="C50" i="10" l="1"/>
  <c r="C57" i="10" s="1"/>
  <c r="F10" i="6"/>
  <c r="C51" i="10" l="1"/>
  <c r="C15" i="1"/>
  <c r="B27" i="4" l="1"/>
  <c r="B38" i="4" s="1"/>
  <c r="B30" i="4"/>
  <c r="B29" i="4"/>
  <c r="B28" i="4"/>
  <c r="B23" i="4"/>
  <c r="B24" i="4"/>
  <c r="C81" i="1" s="1"/>
  <c r="B25" i="4"/>
  <c r="C23" i="4"/>
  <c r="C11" i="4"/>
  <c r="C24" i="4" s="1"/>
  <c r="C59" i="1" s="1"/>
  <c r="C58" i="1" s="1"/>
  <c r="C60" i="1" s="1"/>
  <c r="C61" i="1" s="1"/>
  <c r="B26" i="4" l="1"/>
  <c r="B37" i="4"/>
  <c r="B40" i="4"/>
  <c r="C30" i="4"/>
  <c r="C27" i="4"/>
  <c r="B39" i="4"/>
  <c r="C25" i="4"/>
  <c r="C26" i="4" s="1"/>
  <c r="C29" i="4"/>
  <c r="C28" i="4"/>
  <c r="C40" i="4" l="1"/>
  <c r="C39" i="4"/>
  <c r="C38" i="4"/>
  <c r="C37" i="4"/>
  <c r="C17" i="1" l="1"/>
  <c r="C16" i="1"/>
  <c r="C45" i="1" s="1"/>
  <c r="C19" i="1" l="1"/>
  <c r="C20" i="1"/>
  <c r="C10" i="4" l="1"/>
  <c r="C80" i="1" l="1"/>
  <c r="C82" i="1" s="1"/>
  <c r="C34" i="1"/>
  <c r="C27" i="1"/>
  <c r="C42" i="1" l="1"/>
  <c r="C43" i="1"/>
  <c r="C61" i="4" s="1"/>
  <c r="C22" i="1"/>
  <c r="C85" i="1"/>
  <c r="C88" i="1" s="1"/>
  <c r="C21" i="1"/>
  <c r="C28" i="1"/>
  <c r="C29" i="1" s="1"/>
  <c r="C31" i="1"/>
  <c r="C72" i="4" l="1"/>
  <c r="C96" i="1"/>
  <c r="C106" i="1" s="1"/>
  <c r="C95" i="1"/>
  <c r="C105" i="1"/>
  <c r="C104" i="1"/>
  <c r="C30" i="1"/>
  <c r="C35" i="1" s="1"/>
  <c r="C46" i="1" s="1"/>
  <c r="C109" i="1" l="1"/>
  <c r="C108" i="1"/>
  <c r="C107" i="1"/>
  <c r="C36" i="1"/>
  <c r="C49" i="1"/>
  <c r="C65" i="1"/>
  <c r="C12" i="3" l="1"/>
  <c r="C11" i="3"/>
  <c r="C14" i="3" l="1"/>
  <c r="C54" i="1" l="1"/>
  <c r="C66" i="1" s="1"/>
  <c r="C9" i="4" l="1"/>
  <c r="C8" i="4"/>
  <c r="C31" i="4" s="1"/>
  <c r="D10" i="10" s="1"/>
  <c r="C67" i="1"/>
  <c r="D21" i="10" l="1"/>
  <c r="D20" i="10"/>
  <c r="D22" i="10" s="1"/>
  <c r="D19" i="10"/>
  <c r="D18" i="10"/>
  <c r="D45" i="4"/>
  <c r="E45" i="4" s="1"/>
  <c r="D43" i="4"/>
  <c r="C33" i="4"/>
  <c r="D44" i="4"/>
  <c r="C34" i="4"/>
  <c r="C35" i="4" s="1"/>
  <c r="C73" i="1"/>
  <c r="C69" i="1"/>
  <c r="C70" i="1" s="1"/>
  <c r="C72" i="1"/>
  <c r="C68" i="1"/>
  <c r="C15" i="12" s="1"/>
  <c r="C16" i="12" s="1"/>
  <c r="C19" i="12" s="1"/>
  <c r="C20" i="12" s="1"/>
  <c r="C83" i="1"/>
  <c r="D48" i="4" l="1"/>
  <c r="D49" i="4" s="1"/>
  <c r="D50" i="4" s="1"/>
  <c r="D24" i="10"/>
  <c r="D70" i="4" s="1"/>
  <c r="C74" i="1"/>
  <c r="D46" i="4"/>
  <c r="C65" i="4" s="1"/>
  <c r="C67" i="4" s="1"/>
  <c r="C77" i="1"/>
  <c r="C78" i="1" s="1"/>
  <c r="C75" i="1"/>
  <c r="C76" i="1" s="1"/>
  <c r="C3" i="3"/>
  <c r="C15" i="3" s="1"/>
  <c r="C63" i="4"/>
  <c r="C84" i="1"/>
  <c r="B9" i="4"/>
  <c r="B8" i="4"/>
  <c r="B31" i="4" s="1"/>
  <c r="C99" i="1"/>
  <c r="C100" i="1" s="1"/>
  <c r="C97" i="1"/>
  <c r="C98" i="1" s="1"/>
  <c r="C6" i="9" s="1"/>
  <c r="C9" i="9" s="1"/>
  <c r="C110" i="1"/>
  <c r="C111" i="1" s="1"/>
  <c r="E46" i="4" l="1"/>
  <c r="C10" i="9"/>
  <c r="C12" i="9"/>
  <c r="C13" i="9" s="1"/>
  <c r="C101" i="1"/>
  <c r="C102" i="1"/>
  <c r="C103" i="1"/>
  <c r="B33" i="4"/>
  <c r="B43" i="4"/>
  <c r="B45" i="4"/>
  <c r="C45" i="4" s="1"/>
  <c r="B34" i="4"/>
  <c r="B35" i="4" s="1"/>
  <c r="B44" i="4"/>
  <c r="B32" i="4"/>
  <c r="C16" i="3"/>
  <c r="C17" i="3"/>
  <c r="C18" i="3" s="1"/>
  <c r="E44" i="4" l="1"/>
  <c r="C44" i="4"/>
  <c r="E43" i="4"/>
  <c r="B46" i="4"/>
  <c r="C43" i="4"/>
  <c r="C46" i="4" l="1"/>
  <c r="C58" i="4"/>
  <c r="C60" i="4"/>
  <c r="C62" i="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<sst xmlns="http://schemas.openxmlformats.org/spreadsheetml/2006/main" count="761" uniqueCount="556">
  <si>
    <t>R_1</t>
  </si>
  <si>
    <t>distance finger center to finger contact point</t>
  </si>
  <si>
    <t>R_2</t>
  </si>
  <si>
    <t>Dbear</t>
  </si>
  <si>
    <t>mu</t>
  </si>
  <si>
    <t>atm</t>
  </si>
  <si>
    <t>psi</t>
  </si>
  <si>
    <t>N/mm^2</t>
  </si>
  <si>
    <t>https://en.wikipedia.org/wiki/Mechanical_ventilation</t>
  </si>
  <si>
    <t>https://www.sciencedirect.com/topics/medicine-and-dentistry/mean-airway-pressure</t>
  </si>
  <si>
    <t>https://www.sciencedirect.com/topics/medicine-and-dentistry/airway-pressure</t>
  </si>
  <si>
    <t>peak airway pressure</t>
  </si>
  <si>
    <t>pap</t>
  </si>
  <si>
    <t>factor higher to force from bag through circuit</t>
  </si>
  <si>
    <t>papeta</t>
  </si>
  <si>
    <t>bag pressure</t>
  </si>
  <si>
    <t>pbagmm</t>
  </si>
  <si>
    <t>Bag diameter</t>
  </si>
  <si>
    <t>Dbag</t>
  </si>
  <si>
    <t>Lbag</t>
  </si>
  <si>
    <t>Areabag</t>
  </si>
  <si>
    <t>force on bag</t>
  </si>
  <si>
    <t>lbs</t>
  </si>
  <si>
    <t>N</t>
  </si>
  <si>
    <t>Fbag</t>
  </si>
  <si>
    <t>Ffinger</t>
  </si>
  <si>
    <t>Fbear</t>
  </si>
  <si>
    <t>Fgear</t>
  </si>
  <si>
    <t>Dgear</t>
  </si>
  <si>
    <t>diameter of driver gear</t>
  </si>
  <si>
    <t>Tgear</t>
  </si>
  <si>
    <t>N-mm</t>
  </si>
  <si>
    <t>% torque lost to shaft  bearing friction</t>
  </si>
  <si>
    <t>ptlsf</t>
  </si>
  <si>
    <t>Torque lost to shaft bearing friction</t>
  </si>
  <si>
    <t>Tlsbf</t>
  </si>
  <si>
    <t>mm</t>
  </si>
  <si>
    <t>Gearmotor</t>
  </si>
  <si>
    <t>Dpinion</t>
  </si>
  <si>
    <t>gearbox output torque needed</t>
  </si>
  <si>
    <t>Tgm</t>
  </si>
  <si>
    <t>lb-in</t>
  </si>
  <si>
    <t>mm^2</t>
  </si>
  <si>
    <t>Free speed</t>
  </si>
  <si>
    <t>Tstall</t>
  </si>
  <si>
    <t>wfree</t>
  </si>
  <si>
    <t>Stall torque</t>
  </si>
  <si>
    <t>rpm</t>
  </si>
  <si>
    <t>lb-ft</t>
  </si>
  <si>
    <t>Respiration rate</t>
  </si>
  <si>
    <t>resprate</t>
  </si>
  <si>
    <t>breaths per minute</t>
  </si>
  <si>
    <t>TRpf</t>
  </si>
  <si>
    <t>degrees</t>
  </si>
  <si>
    <t>arcfing</t>
  </si>
  <si>
    <t>rpmfing</t>
  </si>
  <si>
    <t>rpmgmr</t>
  </si>
  <si>
    <t>Respiration</t>
  </si>
  <si>
    <t>inch</t>
  </si>
  <si>
    <t>Spreadsheet to deterministically design ambu bag squeezer using pure rotary linkage with sontinuous rotary motion input.  COVID sadness can bring world together to work as a team, and then maybe next step fix climate change, hence one over sadness equals happiness 1/:-( = :-). see www.ooseh.com</t>
  </si>
  <si>
    <r>
      <t xml:space="preserve">Inputs in </t>
    </r>
    <r>
      <rPr>
        <b/>
        <sz val="12"/>
        <color theme="1"/>
        <rFont val="Calibri"/>
        <family val="2"/>
      </rPr>
      <t>BLACK</t>
    </r>
    <r>
      <rPr>
        <sz val="10"/>
        <color theme="1"/>
        <rFont val="Helvetica"/>
        <family val="2"/>
      </rPr>
      <t xml:space="preserve">, Outputs in </t>
    </r>
    <r>
      <rPr>
        <b/>
        <sz val="12"/>
        <color rgb="FFFF0000"/>
        <rFont val="Helvetica"/>
        <family val="2"/>
      </rPr>
      <t>RED</t>
    </r>
  </si>
  <si>
    <t>width of bearing</t>
  </si>
  <si>
    <t>diameter bearings</t>
  </si>
  <si>
    <t>dbearing</t>
  </si>
  <si>
    <t>Frbearing</t>
  </si>
  <si>
    <t>wbearing</t>
  </si>
  <si>
    <t>contact stress on bearings</t>
  </si>
  <si>
    <t>Spur_Gears.xls</t>
  </si>
  <si>
    <r>
      <t xml:space="preserve">Spreadsheet to </t>
    </r>
    <r>
      <rPr>
        <i/>
        <sz val="10"/>
        <rFont val="Times New Roman"/>
        <family val="1"/>
      </rPr>
      <t>estimate</t>
    </r>
    <r>
      <rPr>
        <sz val="10"/>
        <rFont val="Times New Roman"/>
        <family val="1"/>
      </rPr>
      <t xml:space="preserve"> gear tooth strength</t>
    </r>
  </si>
  <si>
    <t>Production gears must be designed using the Lewis Form Factor or FEA</t>
  </si>
  <si>
    <t>By Alex Slocum 1/18/01, last modified 9/28/2007 by Alex Slocum</t>
  </si>
  <si>
    <t>Inputs</t>
  </si>
  <si>
    <t>Pressure angle, f (deg, rad)</t>
  </si>
  <si>
    <t>Pitch, P</t>
  </si>
  <si>
    <t>Number of teeth on pinion, Np</t>
  </si>
  <si>
    <t>Number of teeth on gear, Ng</t>
  </si>
  <si>
    <t>Center distance tolerance, Ctol (inches)</t>
  </si>
  <si>
    <t>Pinion yeild stress, sigp (psi)</t>
  </si>
  <si>
    <t>Gear yield stress, sigg (psi)</t>
  </si>
  <si>
    <t>Stress concentration factor at tooth root, scf</t>
  </si>
  <si>
    <t>Outputs</t>
  </si>
  <si>
    <t>Gear ratio, mg</t>
  </si>
  <si>
    <t>Pinion pitch diameter, Dp (inches)</t>
  </si>
  <si>
    <t>Gear pich diameter, Dg (inches)</t>
  </si>
  <si>
    <t>Center distance, C (inches)</t>
  </si>
  <si>
    <t>Tooth thickness, tt (inches)</t>
  </si>
  <si>
    <t>Addendum, a (inches)</t>
  </si>
  <si>
    <t>Dedendum, b (inches)</t>
  </si>
  <si>
    <t>Clearance, cl (inches)</t>
  </si>
  <si>
    <t>Pinion tooth force (normal to radius), Fp (lbf)</t>
  </si>
  <si>
    <t>Gear tooth separation force (parallel to radius) Fsp (lbf)</t>
  </si>
  <si>
    <t>Tooth section parameters</t>
  </si>
  <si>
    <t>Chordal area, Ac (inches^2)</t>
  </si>
  <si>
    <t>First moment of area, Q (inches^3)</t>
  </si>
  <si>
    <t>2nd moment of area ("moment of inertia"), I (inches^4)</t>
  </si>
  <si>
    <t>Distance Nuetral axis to outer fiber, cc (inches)</t>
  </si>
  <si>
    <t>Shear stress of the tooth (F/A) (psi)</t>
  </si>
  <si>
    <t>Bending shear stress (FQ/wI) (psi)</t>
  </si>
  <si>
    <t>Bending stress (F*b*c/I) (psi)</t>
  </si>
  <si>
    <r>
      <t xml:space="preserve">Enters numbers in </t>
    </r>
    <r>
      <rPr>
        <b/>
        <sz val="10"/>
        <rFont val="Times New Roman"/>
        <family val="1"/>
      </rPr>
      <t>BOLD,</t>
    </r>
    <r>
      <rPr>
        <sz val="10"/>
        <rFont val="Times New Roman"/>
        <family val="1"/>
      </rPr>
      <t xml:space="preserve"> Results in </t>
    </r>
    <r>
      <rPr>
        <b/>
        <sz val="10"/>
        <color indexed="10"/>
        <rFont val="Times New Roman"/>
        <family val="1"/>
      </rPr>
      <t>RED</t>
    </r>
  </si>
  <si>
    <t>Normal lung compliance, lower bound</t>
  </si>
  <si>
    <t>LCNL</t>
  </si>
  <si>
    <t>cmH2O</t>
  </si>
  <si>
    <t>Normal lung compliance, upper bound</t>
  </si>
  <si>
    <t>LCNU</t>
  </si>
  <si>
    <t>Resp rate lower bound</t>
  </si>
  <si>
    <t>Resp rate upper bound</t>
  </si>
  <si>
    <t>breaths</t>
  </si>
  <si>
    <t>PEEP</t>
  </si>
  <si>
    <t>Inspiratory pressure</t>
  </si>
  <si>
    <t>Pins</t>
  </si>
  <si>
    <t>Bad compliance, ARDS</t>
  </si>
  <si>
    <t>LCA</t>
  </si>
  <si>
    <t>Change from lower bound</t>
  </si>
  <si>
    <t>This exists everywhere in the breathing curcuit AFTER the valve; so inspiratory pressure of 30 is between bag &amp; valve</t>
  </si>
  <si>
    <t>Clinical scenario: 300-400 lb patient who has a lung compliance of 3? Also patient is bucking, having difficulty breathing.</t>
  </si>
  <si>
    <t>mmHg</t>
  </si>
  <si>
    <t>Driving pressure (at machine)</t>
  </si>
  <si>
    <t>Driving pressure (at mouth)</t>
  </si>
  <si>
    <t>Pmach</t>
  </si>
  <si>
    <t>Pmouth</t>
  </si>
  <si>
    <t>force on EACH finger</t>
  </si>
  <si>
    <t>Lung Compliance Update; Alexander Slocum, Jr, MD PhD; on 3/22/2020; sent to Albert Kwon and Christoph Nabzdyk 3/22/2020</t>
  </si>
  <si>
    <t>Preq</t>
  </si>
  <si>
    <t>Anticipated required airway pressure (need torque to generate this much press)</t>
  </si>
  <si>
    <t>Von Mises stress (psi)</t>
  </si>
  <si>
    <t>Force on finger support shaft (and bearings)</t>
  </si>
  <si>
    <t>radial load per bearing</t>
  </si>
  <si>
    <t>lb</t>
  </si>
  <si>
    <t>Nema 34 Stepper motor</t>
  </si>
  <si>
    <t>oz-in</t>
  </si>
  <si>
    <t>required speed for respiration cycle</t>
  </si>
  <si>
    <t>rsarc</t>
  </si>
  <si>
    <t>cm H2O this torque will provide</t>
  </si>
  <si>
    <t>cm H2O</t>
  </si>
  <si>
    <t>date</t>
  </si>
  <si>
    <t>who</t>
  </si>
  <si>
    <t>edit</t>
  </si>
  <si>
    <t>AHS Sr</t>
  </si>
  <si>
    <t>added NEMA 34 drve parameters and cm H2O equivelant</t>
  </si>
  <si>
    <t>wfree34</t>
  </si>
  <si>
    <t>Transmission ratio motor pinion-to-finger</t>
  </si>
  <si>
    <t>seconds per breath</t>
  </si>
  <si>
    <t>spb</t>
  </si>
  <si>
    <t>pcr</t>
  </si>
  <si>
    <t>time to ramp to pressure</t>
  </si>
  <si>
    <t>trtp</t>
  </si>
  <si>
    <t>added motor rpm for breathe cycle</t>
  </si>
  <si>
    <t>Version</t>
  </si>
  <si>
    <t>Nmsize</t>
  </si>
  <si>
    <t>Pinion diameter (NOTE cannot go smaller than 1" for 12 pitch gear)</t>
  </si>
  <si>
    <t>Total radial load on motor shaft (lbf)</t>
  </si>
  <si>
    <t>Pinion material</t>
  </si>
  <si>
    <t>Gear Material</t>
  </si>
  <si>
    <t>Torque, T (in-lb)</t>
  </si>
  <si>
    <t>Motor Pinion</t>
  </si>
  <si>
    <t>The pinion must be able to drive BOTH fingers, hence the factor of "2"</t>
  </si>
  <si>
    <t>Comments</t>
  </si>
  <si>
    <t>: =0.5*PI()/P</t>
  </si>
  <si>
    <t>: =0.5*(Dp+Dg)+Ctol</t>
  </si>
  <si>
    <t>: =Ng/P</t>
  </si>
  <si>
    <t>: =Np/P</t>
  </si>
  <si>
    <t>: =Ng/Np</t>
  </si>
  <si>
    <t>: =1/P</t>
  </si>
  <si>
    <t>: =1.2/P+0.002</t>
  </si>
  <si>
    <t>:=0.2/P+0.002</t>
  </si>
  <si>
    <t>:=T/(Dp/2)</t>
  </si>
  <si>
    <t>Fgtg</t>
  </si>
  <si>
    <t>: =Fp*TAN(f)</t>
  </si>
  <si>
    <t>:=SQRT(Fsp^2+Fp^2)</t>
  </si>
  <si>
    <t>: =w*tt</t>
  </si>
  <si>
    <t>:=w*tt^3/12</t>
  </si>
  <si>
    <t>:=tt/2</t>
  </si>
  <si>
    <t>:=w*tt^2/6</t>
  </si>
  <si>
    <t>:=Fp/Ac</t>
  </si>
  <si>
    <t>:=Fp*Q/(w*I)</t>
  </si>
  <si>
    <t>:=Fp*b*cc/I*scf</t>
  </si>
  <si>
    <t>:=SQRT(3*B39^2+B41^2)</t>
  </si>
  <si>
    <t>Safety Factor</t>
  </si>
  <si>
    <t>Stress</t>
  </si>
  <si>
    <t>Finger-to-Finger gear stress</t>
  </si>
  <si>
    <t>Motor side gear tooth stress</t>
  </si>
  <si>
    <t>PFPL</t>
  </si>
  <si>
    <t>NemaTas</t>
  </si>
  <si>
    <t>Tstallsm</t>
  </si>
  <si>
    <t>Tstallsmm</t>
  </si>
  <si>
    <t>lbf</t>
  </si>
  <si>
    <t>torque available at required speed</t>
  </si>
  <si>
    <t>torque required for desired performance</t>
  </si>
  <si>
    <t>tgm</t>
  </si>
  <si>
    <t>Number of motors required to provide required torque</t>
  </si>
  <si>
    <t>nmr</t>
  </si>
  <si>
    <t>https://szbobet.en.alibaba.com/product/60516551996-803622807/BM_Brand_High_precision_4_Axis_8_5Nm_1204oz_in_Nema_34_Stepper_Motor_with_braker_Driver_Kit_For_CNC_Router.html</t>
  </si>
  <si>
    <t>https://hardware-cnc.nl/en/shop/stappenmotoren/stepper-motor-34/stepper-motor-nema-34-4,5nm-detail</t>
  </si>
  <si>
    <t>NEMA 23</t>
  </si>
  <si>
    <t>https://cnc1.lv/en/stepper-motors/48-nema-23-stepper-motor-23hs9430-with-280-nm.html</t>
  </si>
  <si>
    <t>max radial force 20mm from face</t>
  </si>
  <si>
    <t>Fradmaxm</t>
  </si>
  <si>
    <t>Is radial force on motor shaft too high?</t>
  </si>
  <si>
    <t>added select motors and do motor calcs, and added details on gear teeth for both pinion and finger to finger</t>
  </si>
  <si>
    <t>Inspiratory/expiratory ratio</t>
  </si>
  <si>
    <t>ier</t>
  </si>
  <si>
    <t>1:4</t>
  </si>
  <si>
    <t>Inspiration ratio</t>
  </si>
  <si>
    <t>insp</t>
  </si>
  <si>
    <t>portion of cycle</t>
  </si>
  <si>
    <t>Expiration ratio</t>
  </si>
  <si>
    <t>expr</t>
  </si>
  <si>
    <t>Total parts</t>
  </si>
  <si>
    <t>total portions</t>
  </si>
  <si>
    <t>Time to inhale</t>
  </si>
  <si>
    <t>tinsp</t>
  </si>
  <si>
    <t>seconds</t>
  </si>
  <si>
    <t>Time to exhale</t>
  </si>
  <si>
    <t>texh</t>
  </si>
  <si>
    <t>Portion of inhalation to ramp</t>
  </si>
  <si>
    <t>percentage</t>
  </si>
  <si>
    <t>tpb</t>
  </si>
  <si>
    <t>required instantaneous rpm of gearmotor shaft</t>
  </si>
  <si>
    <t>effective average rpm of finger</t>
  </si>
  <si>
    <t>add in Albert Kwin and Alex Jr breathing edits</t>
  </si>
  <si>
    <t>max</t>
  </si>
  <si>
    <t>arc of travel of finger to compress bag</t>
  </si>
  <si>
    <t>Pinion tooth force at pitch line at maximum motor torque at required speed</t>
  </si>
  <si>
    <t>PFPLr</t>
  </si>
  <si>
    <t>cmH2Omax</t>
  </si>
  <si>
    <t xml:space="preserve">added radial load additional design info </t>
  </si>
  <si>
    <t>Face width assumed to be the molded thickness, force/finger (lbf)</t>
  </si>
  <si>
    <t>added motor references</t>
  </si>
  <si>
    <t>generalizing for any design</t>
  </si>
  <si>
    <t>Power that must be applied to compress bag during inhalation portion of breathing cycle</t>
  </si>
  <si>
    <t>Pbaginhale</t>
  </si>
  <si>
    <t>Watts</t>
  </si>
  <si>
    <t>Vrbagsides</t>
  </si>
  <si>
    <t>mm/sec</t>
  </si>
  <si>
    <t>mechanical system effieicny (gearmotor and connection to bag mechanism)</t>
  </si>
  <si>
    <t>etamech</t>
  </si>
  <si>
    <t>ovszf</t>
  </si>
  <si>
    <t>Pmotorest</t>
  </si>
  <si>
    <t xml:space="preserve">created by Prof. Alex Slocum March 21, 2020, see "Revisions" tab </t>
  </si>
  <si>
    <t>Forces on "Hands" from airway pressure in bag</t>
  </si>
  <si>
    <t>Radial velocity of bag sides during inhalation</t>
  </si>
  <si>
    <t>Estimated Motor Size Required for the System</t>
  </si>
  <si>
    <t>Oversize motor for 100% duty cycle</t>
  </si>
  <si>
    <t>Life cycle</t>
  </si>
  <si>
    <t>Peak for shorter periods</t>
  </si>
  <si>
    <t>resprateavg</t>
  </si>
  <si>
    <t>bpdavg</t>
  </si>
  <si>
    <t>Days of life of machine before rebuild</t>
  </si>
  <si>
    <t>dolm</t>
  </si>
  <si>
    <t>Total machine cycles required</t>
  </si>
  <si>
    <t>tmcd</t>
  </si>
  <si>
    <t>Breaths per day</t>
  </si>
  <si>
    <t>Motor Power estimate to start design</t>
  </si>
  <si>
    <t>Bag2eD</t>
  </si>
  <si>
    <t>Bag1eD</t>
  </si>
  <si>
    <t>deltaCenter</t>
  </si>
  <si>
    <t>Veeangle</t>
  </si>
  <si>
    <t>distance center heigh shifts when supporting Bags of different end diameters in a Vee</t>
  </si>
  <si>
    <t>hsd</t>
  </si>
  <si>
    <t>in</t>
  </si>
  <si>
    <t>torque to be transmitted</t>
  </si>
  <si>
    <t>contact pressure on hex faces</t>
  </si>
  <si>
    <t>constant from the torque integral</t>
  </si>
  <si>
    <t>Chexpres</t>
  </si>
  <si>
    <t>Number of hex faces assumed to transmit the torque</t>
  </si>
  <si>
    <t>Nhftt</t>
  </si>
  <si>
    <t>Width of contact face</t>
  </si>
  <si>
    <t>wcf</t>
  </si>
  <si>
    <t>MPa</t>
  </si>
  <si>
    <t>hcpf</t>
  </si>
  <si>
    <t>W</t>
  </si>
  <si>
    <t>N-m</t>
  </si>
  <si>
    <t>rad/sec</t>
  </si>
  <si>
    <t>Geared Hands Design: MIT-E Vent</t>
  </si>
  <si>
    <t>: =trpf*Rpmfing</t>
  </si>
  <si>
    <t>: =2*Fbag*Vrbagsides/1000.  NOTE the factor of 2 is because one motor drives both fingers</t>
  </si>
  <si>
    <t>: =Dbag/2/tinsp</t>
  </si>
  <si>
    <t>: =tgm/(Dpinion/2)/NMr   NOTE that the radial force depends on how many motors being used</t>
  </si>
  <si>
    <t xml:space="preserve">at 35 mm HG load is </t>
  </si>
  <si>
    <t>Theta (angle at which the pinion force engages the finger drive gear)</t>
  </si>
  <si>
    <t>Orientation of the pinion-to-drive gear contact force mid-bag compression: for a "pure" top drive Theta = 0.  For a "pure" bottom drive drive Theta = 180.  For a "pure" side drive Theta = 90</t>
  </si>
  <si>
    <t>Thetapingear</t>
  </si>
  <si>
    <t>diameter of finger support shaft</t>
  </si>
  <si>
    <t>coefficient of friction of finger support bearing</t>
  </si>
  <si>
    <t>Radius of driver gear</t>
  </si>
  <si>
    <t>Rgear</t>
  </si>
  <si>
    <t>generalizing for any design and adding fixturing and hex drive calcs</t>
  </si>
  <si>
    <t>X direction</t>
  </si>
  <si>
    <t>Fbx</t>
  </si>
  <si>
    <t>Fby</t>
  </si>
  <si>
    <t>Y direction</t>
  </si>
  <si>
    <t>Fperbear</t>
  </si>
  <si>
    <t>Motor Selection and operating parameters</t>
  </si>
  <si>
    <t>gearbox output speed needed</t>
  </si>
  <si>
    <t>gosn</t>
  </si>
  <si>
    <t>Motor number referenced on "System Analysis" sheet</t>
  </si>
  <si>
    <t>Nema 23 Stepper motor</t>
  </si>
  <si>
    <t>est peak power (1/2 stall torque X 1/2 free speed)</t>
  </si>
  <si>
    <t>estimated allowable side load on shaft</t>
  </si>
  <si>
    <t>? No spec found, so estimate</t>
  </si>
  <si>
    <r>
      <t xml:space="preserve">Enter numbers in </t>
    </r>
    <r>
      <rPr>
        <b/>
        <sz val="12"/>
        <color theme="1"/>
        <rFont val="Calibri"/>
        <family val="2"/>
        <scheme val="minor"/>
      </rPr>
      <t>BLACK</t>
    </r>
    <r>
      <rPr>
        <sz val="12"/>
        <color theme="1"/>
        <rFont val="Calibri"/>
        <family val="2"/>
        <scheme val="minor"/>
      </rPr>
      <t xml:space="preserve">, equivelants are calculated in </t>
    </r>
    <r>
      <rPr>
        <b/>
        <sz val="12"/>
        <color rgb="FFFF0000"/>
        <rFont val="Calibri (Body)"/>
      </rPr>
      <t>RED</t>
    </r>
    <r>
      <rPr>
        <sz val="12"/>
        <color theme="1"/>
        <rFont val="Calibri"/>
        <family val="2"/>
        <scheme val="minor"/>
      </rPr>
      <t>, and then these values are transferred to the "System Analysis" spreadsheet</t>
    </r>
  </si>
  <si>
    <t>Motor number</t>
  </si>
  <si>
    <t>allowable side load (N)</t>
  </si>
  <si>
    <t>no load speed (rpm)</t>
  </si>
  <si>
    <t>Motor Data from "Motor Options" workbook</t>
  </si>
  <si>
    <t>AndyMark PG71 gearmotor.  https://www.andymark.com/products/hex-pg-series-gearboxes-options</t>
  </si>
  <si>
    <t>Stall torque (N-m)</t>
  </si>
  <si>
    <t>N motor size (Nema 23, 34 or Gearmotor 1, 2,3. see workbook "Motor Options")</t>
  </si>
  <si>
    <t>Estimated total peak motor mechanical power to select candidate motors</t>
  </si>
  <si>
    <t>NOTE if during the inhale time tinhale (e.g. 0.4 seconds total) if assume x% for ramp up and x% for ramp down , then over total travel of Y degrees, the motor speed required (upper limit) is Y/(tinhale*(1-2x))</t>
  </si>
  <si>
    <t>Percent of inhale time for ramp up and ramp down</t>
  </si>
  <si>
    <t>xpramp</t>
  </si>
  <si>
    <t>Maximum desired gearbox speed needed to enable ramp up</t>
  </si>
  <si>
    <t>gosnact</t>
  </si>
  <si>
    <t>Force on a each "hand" as bag is compressed</t>
  </si>
  <si>
    <t xml:space="preserve">Force on gear teeth between fingers  to share torque from gearmotor </t>
  </si>
  <si>
    <t>Torque generated by driven gear which is then shared by both Hands</t>
  </si>
  <si>
    <t>Required motor pinion tooth force on driven gear to move both "Hands" together to compress bag</t>
  </si>
  <si>
    <t>Hand shaft support Bearing forces</t>
  </si>
  <si>
    <t>Drive transmission ratio (enter gear sizes below)</t>
  </si>
  <si>
    <t>Hertz_contact_line.xls</t>
  </si>
  <si>
    <t>To determine Hertz contact stress between two cylinders</t>
  </si>
  <si>
    <t>By Alex Slocum, last modified 2/10/2004 by Alex Slocum</t>
  </si>
  <si>
    <t>Smaller cylinder 1 diameter, d_1 (mm)</t>
  </si>
  <si>
    <t>Larger cylinder 2 (or flat plane) diameter, d_2 (mm)</t>
  </si>
  <si>
    <t>Length, L (mm)</t>
  </si>
  <si>
    <t>Applied load per roller, F (N)</t>
  </si>
  <si>
    <t>Elastic modulus Eone (N/mm^2)</t>
  </si>
  <si>
    <t>Equivelent modulus, Ee (N/mm^2)</t>
  </si>
  <si>
    <t>Elastic modulus Etwo (N/mm^2)</t>
  </si>
  <si>
    <t>Equivelent modulus, E1e (N/mm^2)</t>
  </si>
  <si>
    <t>Poisson's ratio vone</t>
  </si>
  <si>
    <t>Equivelent modulus, E2e (N/mm^2)</t>
  </si>
  <si>
    <t>Poisson's ratio vtwo</t>
  </si>
  <si>
    <t>Ultimate tensile stress, sigult (N/mm^2)</t>
  </si>
  <si>
    <t>Depth below contact surface for evaluating deflection, do (microns)</t>
  </si>
  <si>
    <t>Rectangular contact zone width, 2b (mm)</t>
  </si>
  <si>
    <t>Contact pressure, qcyl (N/mm^2)</t>
  </si>
  <si>
    <t>For d_1 pressed against a rigid flat plate</t>
  </si>
  <si>
    <t>Deflection motion of d_1 center, defl_1 (mm)</t>
  </si>
  <si>
    <t>Conact area half-width b_1</t>
  </si>
  <si>
    <t>Deflection motion of d_2 center, defl_2 (mm)</t>
  </si>
  <si>
    <t>For d_2 pressed against a rigid flat plate</t>
  </si>
  <si>
    <t>Total relative displacement of the cylinder's centers, dcyls (mm)</t>
  </si>
  <si>
    <t>Conact area half-width b_2</t>
  </si>
  <si>
    <t>Stress factor: Must be less than 1</t>
  </si>
  <si>
    <t>Manufacturing issues</t>
  </si>
  <si>
    <t>Surface roughness, Ra (mm)</t>
  </si>
  <si>
    <t>Potential induced contact width, Bra (mm)</t>
  </si>
  <si>
    <t>Compare to sphere-on-flat-plate of same diameter:</t>
  </si>
  <si>
    <t>Ronemaj</t>
  </si>
  <si>
    <t>Ronemin</t>
  </si>
  <si>
    <t>Rtwomaj</t>
  </si>
  <si>
    <t>Rtwomin</t>
  </si>
  <si>
    <t>Phi (degrees)</t>
  </si>
  <si>
    <t>costheta</t>
  </si>
  <si>
    <t>theta</t>
  </si>
  <si>
    <t>alpha</t>
  </si>
  <si>
    <t>beta</t>
  </si>
  <si>
    <t>lambda</t>
  </si>
  <si>
    <t>Equivelent radius Re</t>
  </si>
  <si>
    <t>ellipse c</t>
  </si>
  <si>
    <t>ellipse d</t>
  </si>
  <si>
    <t>Contact pressure, q</t>
  </si>
  <si>
    <t>Stress ratio (must be less than 1)</t>
  </si>
  <si>
    <t>Deflection at the one contact interface</t>
  </si>
  <si>
    <t xml:space="preserve">    Deflection (µunits)</t>
  </si>
  <si>
    <t>Stiffness (load/µunits)</t>
  </si>
  <si>
    <t>for circular contact a = c, a</t>
  </si>
  <si>
    <t>Depth at maximum shear stress/a</t>
  </si>
  <si>
    <t>Max shear stress/ultimate tensile</t>
  </si>
  <si>
    <t>Spreadsheet adopted from FUNdaMENTALS (2.75) to check the line contact stress between motor pinion (steel) and plastic drive gear</t>
  </si>
  <si>
    <t>ela</t>
  </si>
  <si>
    <t>twisiting moment on finger</t>
  </si>
  <si>
    <t>tmof</t>
  </si>
  <si>
    <t>spacing of bearings</t>
  </si>
  <si>
    <t>sob</t>
  </si>
  <si>
    <t>narrow if a single center metal gear used with wide array of fingers at the top</t>
  </si>
  <si>
    <t>force couple applied to bearings</t>
  </si>
  <si>
    <t>fcob</t>
  </si>
  <si>
    <t>sigbear</t>
  </si>
  <si>
    <t>This is set equal to the finger support shaft on "Systems Analysis" workbook</t>
  </si>
  <si>
    <t>: =Fbearing/(C4*Dbearing)</t>
  </si>
  <si>
    <t>: =Fbearing*Ela</t>
  </si>
  <si>
    <t>Finger force</t>
  </si>
  <si>
    <t>finger support bearings loaded eccentrically</t>
  </si>
  <si>
    <t>Radial force per bearing from gear drive and hand loads centered</t>
  </si>
  <si>
    <t>Potential eccentricty of load aplied</t>
  </si>
  <si>
    <t>Worst case net applied radial force to bearing</t>
  </si>
  <si>
    <t>Fnetbear</t>
  </si>
  <si>
    <t>Analysis of bearings supporting the finger support shaft</t>
  </si>
  <si>
    <t xml:space="preserve">cross section area of bag </t>
  </si>
  <si>
    <t>before compression</t>
  </si>
  <si>
    <t>in^2</t>
  </si>
  <si>
    <t>after compression</t>
  </si>
  <si>
    <t>length of compression zone</t>
  </si>
  <si>
    <t>in^3</t>
  </si>
  <si>
    <t>volume compressed</t>
  </si>
  <si>
    <t xml:space="preserve">tidal volume </t>
  </si>
  <si>
    <t>cm^3</t>
  </si>
  <si>
    <t>% of ends also compressed</t>
  </si>
  <si>
    <t>expected tital volume</t>
  </si>
  <si>
    <t>actual measured by tests</t>
  </si>
  <si>
    <t>&gt;1000 cm^3</t>
  </si>
  <si>
    <t>: =IF(NMsize=23,G88,IF(NMsize=34,H88,IF(NMsize=1,I88,IF(NMsize=2,J88,K88))))</t>
  </si>
  <si>
    <t>: =gosn/(1-2*xpramp)</t>
  </si>
  <si>
    <t>Number of oscillations of gearmotor shaft</t>
  </si>
  <si>
    <t>Angular oscillation of motor shaft</t>
  </si>
  <si>
    <t>cycles</t>
  </si>
  <si>
    <t>noms</t>
  </si>
  <si>
    <t>nodoms</t>
  </si>
  <si>
    <t>motor cycle calcs</t>
  </si>
  <si>
    <t>Pinion tooth force at pitch line at motor torque at required speed for required cm H2O</t>
  </si>
  <si>
    <t>Percent of maximum shaft load</t>
  </si>
  <si>
    <t>pomsl</t>
  </si>
  <si>
    <t>For bottom drive driven gear diameter equals 2x distance finger center to center plane</t>
  </si>
  <si>
    <t>distance finger center to center plane (finger-to-finger gear radius)</t>
  </si>
  <si>
    <t xml:space="preserve">MIT-E VENT System Design spreadsheet </t>
  </si>
  <si>
    <t>clean up formatting and gave generic name to the spreadsheet (changed from "Top Drive" to "System Design"</t>
  </si>
  <si>
    <t>Average for mechanism life and motor power calculations</t>
  </si>
  <si>
    <t>motor power and system  design to be based on average bpm, not hyperventilate</t>
  </si>
  <si>
    <t>NOTE this is for the gears specified in Bottom Drive Design 10Beta from SA had created from drawings from MIT</t>
  </si>
  <si>
    <t>High torque windshield wiper motor</t>
  </si>
  <si>
    <t>AndyMark PG188 gearmotor.  https://www.andymark.com/products/hex-pg-series-gearboxes-options</t>
  </si>
  <si>
    <t>Original MIT-E Vent bottom drive</t>
  </si>
  <si>
    <t>48 tooth 16 pitch 14.5 degree pressure angle</t>
  </si>
  <si>
    <t>30 tooth 16 pitch 14.5 degree pressure angle</t>
  </si>
  <si>
    <t>the approximate curvature of the tooth face of a 16 pitch gear as measured from SW gear tooth</t>
  </si>
  <si>
    <t>Finger to Finger</t>
  </si>
  <si>
    <t>Check, should be equal to Fgear, else pinion diameters do not match</t>
  </si>
  <si>
    <t>From "Gears" worsksheet where number of teeth and Pitch are entered</t>
  </si>
  <si>
    <t>From "Gears" worsksheet where number of teeth and Pitch are entered for finger-to-finger gear</t>
  </si>
  <si>
    <t>days</t>
  </si>
  <si>
    <t>Days of life</t>
  </si>
  <si>
    <t>Millions of rotations potentially possible with arm close to gearbox face</t>
  </si>
  <si>
    <t>dol</t>
  </si>
  <si>
    <t>mrp</t>
  </si>
  <si>
    <t>Lifetime estimate</t>
  </si>
  <si>
    <t>mob</t>
  </si>
  <si>
    <t>Moment on bearings</t>
  </si>
  <si>
    <t>rslgm</t>
  </si>
  <si>
    <t>radial load on shaft from system</t>
  </si>
  <si>
    <t>dcacs</t>
  </si>
  <si>
    <t>dcagbf</t>
  </si>
  <si>
    <t>woac</t>
  </si>
  <si>
    <t>Mounting</t>
  </si>
  <si>
    <t>mcbp</t>
  </si>
  <si>
    <t>million rotation Moment capacity of bearing pair</t>
  </si>
  <si>
    <t>drlc</t>
  </si>
  <si>
    <t>L10 dynamic radial load capacity</t>
  </si>
  <si>
    <t>dbbcl</t>
  </si>
  <si>
    <t>distance between bearings' centerlines</t>
  </si>
  <si>
    <t>wob</t>
  </si>
  <si>
    <t>sbb</t>
  </si>
  <si>
    <t>spacing between bearings</t>
  </si>
  <si>
    <t>wabof</t>
  </si>
  <si>
    <t>width across bearing outer faces</t>
  </si>
  <si>
    <t>Bearings</t>
  </si>
  <si>
    <t>width of gear clamped to hex shaft</t>
  </si>
  <si>
    <t>distance from front face of gearbox to side face of pinion gear</t>
  </si>
  <si>
    <t>dddgbg</t>
  </si>
  <si>
    <t>distance from center of pinion to gearbox face</t>
  </si>
  <si>
    <t>distance from center of pinion to center of stiffness</t>
  </si>
  <si>
    <t>For AM PG 71 and 188 gearbox, front bearing face is flush with front face of mounting flange</t>
  </si>
  <si>
    <t>million rotations</t>
  </si>
  <si>
    <t>siginfinte</t>
  </si>
  <si>
    <t>exp_1</t>
  </si>
  <si>
    <t>exp_2</t>
  </si>
  <si>
    <t>slope</t>
  </si>
  <si>
    <t>intercept</t>
  </si>
  <si>
    <t>mlife</t>
  </si>
  <si>
    <t>blife</t>
  </si>
  <si>
    <t>rotlifepin</t>
  </si>
  <si>
    <t>Pinion</t>
  </si>
  <si>
    <t>Finger to finger gear</t>
  </si>
  <si>
    <t>rotlifefing</t>
  </si>
  <si>
    <t>pinionlifedays</t>
  </si>
  <si>
    <t>fingerlifedasys</t>
  </si>
  <si>
    <t>Contact stress (see "geartoothcontact stress" workbook)</t>
  </si>
  <si>
    <t>Tooth stresses</t>
  </si>
  <si>
    <t>subsurface shear stress</t>
  </si>
  <si>
    <t>Life as a function of contact stress</t>
  </si>
  <si>
    <t>Assumed line contact stress across facewidth (very generous assumption)</t>
  </si>
  <si>
    <t>enter specific parameters for MIT Bottom Drive for days of life study of gearbox, bearings, gears</t>
  </si>
  <si>
    <t>Life assessment for 40 cm H2O max.  Controls team puts on a software limit and a label</t>
  </si>
  <si>
    <t xml:space="preserve">go to igus bearing life calculator to get bearing </t>
  </si>
  <si>
    <t>https://www.igus-cad.com/?cul=en-US&amp;ArtNr=J350FI-0607-04&amp;mandant=USA</t>
  </si>
  <si>
    <t>flange width of bearing</t>
  </si>
  <si>
    <t>flngbear</t>
  </si>
  <si>
    <t>width of bearing including flange</t>
  </si>
  <si>
    <t>hours of life</t>
  </si>
  <si>
    <t>hobl</t>
  </si>
  <si>
    <t>daobl</t>
  </si>
  <si>
    <t>part J350FI-0607-04 - iglide® J350 type F, inch sizes</t>
  </si>
  <si>
    <t>pinionfw</t>
  </si>
  <si>
    <t>fingfw</t>
  </si>
  <si>
    <t>pinionhertzfl</t>
  </si>
  <si>
    <t>pinionhertzdays</t>
  </si>
  <si>
    <t>Von Mises stress at root / yield stress</t>
  </si>
  <si>
    <t>stress ratio</t>
  </si>
  <si>
    <t>material</t>
  </si>
  <si>
    <t>Mild Steel</t>
  </si>
  <si>
    <t>yield strength</t>
  </si>
  <si>
    <t>sigyield</t>
  </si>
  <si>
    <t>inch (contact width with finger gear)</t>
  </si>
  <si>
    <t>Gear tooth bending Fatigue life</t>
  </si>
  <si>
    <t>Contact Stress Fatigue Life (pinion limited)</t>
  </si>
  <si>
    <t>Maximum shear stress/(ultimate tensile/1.7)</t>
  </si>
  <si>
    <t>pinioncsr</t>
  </si>
  <si>
    <t>number of teeth contact per cycle</t>
  </si>
  <si>
    <t>numtpc</t>
  </si>
  <si>
    <t>numtfg</t>
  </si>
  <si>
    <t>arc angle tooth (degrees)</t>
  </si>
  <si>
    <t>minimum depth factor</t>
  </si>
  <si>
    <t>4140 or 1144 Steel</t>
  </si>
  <si>
    <t>RC hardness</t>
  </si>
  <si>
    <t>equivelant tensile strength at hardness</t>
  </si>
  <si>
    <t>MPa   Slocum Precision Machine Design page 335</t>
  </si>
  <si>
    <t>sighardened</t>
  </si>
  <si>
    <t>depth of maximum contact shear stress</t>
  </si>
  <si>
    <t>case depth</t>
  </si>
  <si>
    <t>dcsm</t>
  </si>
  <si>
    <t>mdf</t>
  </si>
  <si>
    <t>rch</t>
  </si>
  <si>
    <t>sighardmpa</t>
  </si>
  <si>
    <t>Case hardening</t>
  </si>
  <si>
    <t>Life curve for steel core (e.g., scale from https://icme.hpc.msstate.edu/mediawiki/index.php/Fatigue-life_curve-4130_Steel for a good quality steel)</t>
  </si>
  <si>
    <t>mlifech</t>
  </si>
  <si>
    <t>blifech</t>
  </si>
  <si>
    <t>equivelant tensile stress for life calculation (csets)</t>
  </si>
  <si>
    <t>sigmax1</t>
  </si>
  <si>
    <t>sigmax1ch</t>
  </si>
  <si>
    <t>exp_1ch</t>
  </si>
  <si>
    <t>siginfintech</t>
  </si>
  <si>
    <t>exp_2ch</t>
  </si>
  <si>
    <t>Case hardened gear teeth?</t>
  </si>
  <si>
    <t>yes</t>
  </si>
  <si>
    <t>Effective face width, w (inches)</t>
  </si>
  <si>
    <t>hex shaft size</t>
  </si>
  <si>
    <t>Material yield strength</t>
  </si>
  <si>
    <t>expected life</t>
  </si>
  <si>
    <t>pinion to gearbox shaft</t>
  </si>
  <si>
    <t>420 SS</t>
  </si>
  <si>
    <t>no</t>
  </si>
  <si>
    <t>pinion-to-finger</t>
  </si>
  <si>
    <t>finger to finger</t>
  </si>
  <si>
    <t>pinion</t>
  </si>
  <si>
    <t>finger-to-finger</t>
  </si>
  <si>
    <t>Hardened teeth</t>
  </si>
  <si>
    <t>Yield stress allowable (ksi)</t>
  </si>
  <si>
    <t>hardened</t>
  </si>
  <si>
    <t>unhardened</t>
  </si>
  <si>
    <t>sigunhard</t>
  </si>
  <si>
    <t>Rename Event Design Spreadsheet with Life assessment 2020.04.09 V1, and add more detailed fatigue life calcs for hardened gears to find viable design</t>
  </si>
  <si>
    <t>run analysis for 1/4" driver gear as RC45 and follower annealed as per request.  Added calculate tooth contact stress for gears so can select hardened or not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</si>
</sst>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0.000"/>
    <numFmt numFmtId="165" formatCode="0.0"/>
    <numFmt numFmtId="166" formatCode="0.0%"/>
    <numFmt numFmtId="167" formatCode="_(* #,##0_);_(* \(#,##0\);_(* &quot;-&quot;??_);_(@_)"/>
    <numFmt numFmtId="168" formatCode="0.00000"/>
    <numFmt numFmtId="169" formatCode="0.0000"/>
    <numFmt numFmtId="170" formatCode="_(* #,##0.0_);_(* \(#,##0.0\);_(* &quot;-&quot;??_);_(@_)"/>
    <numFmt numFmtId="171" formatCode="0.E+00"/>
    <numFmt numFmtId="172" formatCode="_(* #,##0.000_);_(* \(#,##0.000\);_(* &quot;-&quot;??_);_(@_)"/>
  </numFmts>
  <fonts count="27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color theme="1"/>
      <name val="Helvetica"/>
      <family val="2"/>
    </font>
    <font>
      <b/>
      <sz val="12"/>
      <color theme="1"/>
      <name val="Calibri"/>
      <family val="2"/>
    </font>
    <font>
      <b/>
      <sz val="12"/>
      <color rgb="FFFF0000"/>
      <name val="Helvetica"/>
      <family val="2"/>
    </font>
    <font>
      <b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Calibri"/>
      <family val="2"/>
      <scheme val="minor"/>
    </font>
    <font>
      <b/>
      <sz val="10"/>
      <color rgb="FFFF000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Helvetica"/>
      <family val="2"/>
    </font>
    <font>
      <b/>
      <sz val="12"/>
      <color theme="1"/>
      <name val="Helvetica"/>
      <family val="2"/>
    </font>
    <font>
      <b/>
      <sz val="12"/>
      <color rgb="FF000000"/>
      <name val="Calibri"/>
      <family val="2"/>
      <scheme val="minor"/>
    </font>
    <font>
      <b/>
      <sz val="12"/>
      <color rgb="FFFF0000"/>
      <name val="Calibri (Body)"/>
    </font>
    <font>
      <sz val="8"/>
      <name val="Times New Roman"/>
      <family val="1"/>
    </font>
    <font>
      <b/>
      <i/>
      <sz val="10"/>
      <name val="Times New Roman"/>
      <family val="1"/>
    </font>
    <font>
      <b/>
      <sz val="10"/>
      <color indexed="12"/>
      <name val="Times New Roman"/>
      <family val="1"/>
    </font>
    <font>
      <sz val="10"/>
      <name val="Geneva"/>
      <family val="2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317">
    <xf numFmtId="0" fontId="0" fillId="0" borderId="0" xfId="0"/>
    <xf numFmtId="0" fontId="4" fillId="0" borderId="0" xfId="3"/>
    <xf numFmtId="0" fontId="0" fillId="0" borderId="1" xfId="0" applyBorder="1"/>
    <xf numFmtId="43" fontId="2" fillId="0" borderId="1" xfId="0" applyNumberFormat="1" applyFont="1" applyBorder="1"/>
    <xf numFmtId="0" fontId="0" fillId="0" borderId="1" xfId="0" applyBorder="1" applyAlignment="1">
      <alignment horizontal="left" indent="1"/>
    </xf>
    <xf numFmtId="0" fontId="3" fillId="0" borderId="1" xfId="0" applyFont="1" applyBorder="1"/>
    <xf numFmtId="0" fontId="3" fillId="0" borderId="1" xfId="0" applyFont="1" applyBorder="1" applyAlignment="1">
      <alignment horizontal="left" indent="1"/>
    </xf>
    <xf numFmtId="0" fontId="0" fillId="0" borderId="1" xfId="0" applyBorder="1" applyAlignment="1">
      <alignment horizontal="left" indent="2"/>
    </xf>
    <xf numFmtId="0" fontId="9" fillId="0" borderId="0" xfId="0" applyFont="1"/>
    <xf numFmtId="0" fontId="8" fillId="0" borderId="1" xfId="0" applyFont="1" applyBorder="1"/>
    <xf numFmtId="0" fontId="9" fillId="0" borderId="1" xfId="0" applyFont="1" applyBorder="1"/>
    <xf numFmtId="0" fontId="11" fillId="0" borderId="1" xfId="0" applyFont="1" applyBorder="1"/>
    <xf numFmtId="1" fontId="11" fillId="0" borderId="1" xfId="0" applyNumberFormat="1" applyFont="1" applyBorder="1"/>
    <xf numFmtId="0" fontId="9" fillId="0" borderId="1" xfId="0" applyFont="1" applyBorder="1" applyAlignment="1">
      <alignment horizontal="left" indent="1"/>
    </xf>
    <xf numFmtId="0" fontId="8" fillId="2" borderId="1" xfId="0" applyFont="1" applyFill="1" applyBorder="1"/>
    <xf numFmtId="168" fontId="11" fillId="0" borderId="1" xfId="0" applyNumberFormat="1" applyFont="1" applyBorder="1"/>
    <xf numFmtId="164" fontId="11" fillId="0" borderId="1" xfId="0" applyNumberFormat="1" applyFont="1" applyBorder="1"/>
    <xf numFmtId="169" fontId="11" fillId="0" borderId="1" xfId="0" applyNumberFormat="1" applyFont="1" applyBorder="1"/>
    <xf numFmtId="11" fontId="11" fillId="0" borderId="1" xfId="0" applyNumberFormat="1" applyFont="1" applyBorder="1"/>
    <xf numFmtId="0" fontId="9" fillId="2" borderId="1" xfId="0" applyFont="1" applyFill="1" applyBorder="1" applyAlignment="1">
      <alignment horizontal="left" indent="1"/>
    </xf>
    <xf numFmtId="1" fontId="11" fillId="2" borderId="1" xfId="0" applyNumberFormat="1" applyFont="1" applyFill="1" applyBorder="1"/>
    <xf numFmtId="165" fontId="0" fillId="0" borderId="1" xfId="0" applyNumberFormat="1" applyBorder="1"/>
    <xf numFmtId="0" fontId="12" fillId="0" borderId="1" xfId="0" applyFont="1" applyBorder="1"/>
    <xf numFmtId="0" fontId="9" fillId="4" borderId="1" xfId="0" applyFont="1" applyFill="1" applyBorder="1" applyAlignment="1">
      <alignment horizontal="left" indent="1"/>
    </xf>
    <xf numFmtId="0" fontId="9" fillId="0" borderId="1" xfId="0" applyFont="1" applyFill="1" applyBorder="1" applyAlignment="1">
      <alignment horizontal="left" indent="1"/>
    </xf>
    <xf numFmtId="1" fontId="13" fillId="0" borderId="1" xfId="0" applyNumberFormat="1" applyFont="1" applyBorder="1"/>
    <xf numFmtId="0" fontId="3" fillId="0" borderId="1" xfId="0" applyFont="1" applyBorder="1" applyAlignment="1">
      <alignment horizontal="left"/>
    </xf>
    <xf numFmtId="14" fontId="0" fillId="0" borderId="0" xfId="0" applyNumberFormat="1"/>
    <xf numFmtId="0" fontId="5" fillId="0" borderId="1" xfId="0" applyFont="1" applyBorder="1"/>
    <xf numFmtId="0" fontId="0" fillId="4" borderId="1" xfId="0" applyFill="1" applyBorder="1" applyAlignment="1">
      <alignment horizontal="left" indent="1"/>
    </xf>
    <xf numFmtId="0" fontId="0" fillId="4" borderId="1" xfId="0" applyFill="1" applyBorder="1"/>
    <xf numFmtId="0" fontId="8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5" fillId="0" borderId="0" xfId="0" applyFont="1"/>
    <xf numFmtId="1" fontId="11" fillId="4" borderId="1" xfId="0" applyNumberFormat="1" applyFont="1" applyFill="1" applyBorder="1"/>
    <xf numFmtId="165" fontId="11" fillId="0" borderId="1" xfId="0" applyNumberFormat="1" applyFont="1" applyBorder="1"/>
    <xf numFmtId="165" fontId="11" fillId="2" borderId="1" xfId="0" applyNumberFormat="1" applyFont="1" applyFill="1" applyBorder="1"/>
    <xf numFmtId="169" fontId="11" fillId="0" borderId="6" xfId="0" applyNumberFormat="1" applyFont="1" applyBorder="1"/>
    <xf numFmtId="165" fontId="13" fillId="0" borderId="1" xfId="0" applyNumberFormat="1" applyFont="1" applyBorder="1"/>
    <xf numFmtId="0" fontId="15" fillId="0" borderId="0" xfId="0" applyFont="1"/>
    <xf numFmtId="0" fontId="9" fillId="0" borderId="1" xfId="0" applyFont="1" applyBorder="1" applyAlignment="1">
      <alignment horizontal="left" indent="2"/>
    </xf>
    <xf numFmtId="0" fontId="16" fillId="0" borderId="1" xfId="0" applyFont="1" applyBorder="1"/>
    <xf numFmtId="165" fontId="12" fillId="0" borderId="1" xfId="0" applyNumberFormat="1" applyFont="1" applyBorder="1"/>
    <xf numFmtId="1" fontId="12" fillId="0" borderId="1" xfId="0" applyNumberFormat="1" applyFont="1" applyBorder="1"/>
    <xf numFmtId="166" fontId="12" fillId="0" borderId="1" xfId="2" applyNumberFormat="1" applyFont="1" applyBorder="1"/>
    <xf numFmtId="0" fontId="12" fillId="4" borderId="1" xfId="0" applyFont="1" applyFill="1" applyBorder="1"/>
    <xf numFmtId="2" fontId="12" fillId="4" borderId="1" xfId="0" applyNumberFormat="1" applyFont="1" applyFill="1" applyBorder="1"/>
    <xf numFmtId="167" fontId="12" fillId="0" borderId="1" xfId="1" applyNumberFormat="1" applyFont="1" applyBorder="1"/>
    <xf numFmtId="2" fontId="12" fillId="0" borderId="1" xfId="0" applyNumberFormat="1" applyFont="1" applyBorder="1"/>
    <xf numFmtId="164" fontId="12" fillId="0" borderId="1" xfId="0" applyNumberFormat="1" applyFont="1" applyBorder="1"/>
    <xf numFmtId="1" fontId="12" fillId="0" borderId="1" xfId="0" applyNumberFormat="1" applyFont="1" applyBorder="1" applyAlignment="1">
      <alignment horizontal="center"/>
    </xf>
    <xf numFmtId="49" fontId="12" fillId="0" borderId="1" xfId="0" applyNumberFormat="1" applyFont="1" applyBorder="1" applyAlignment="1">
      <alignment horizontal="right"/>
    </xf>
    <xf numFmtId="0" fontId="3" fillId="0" borderId="0" xfId="0" applyFont="1"/>
    <xf numFmtId="0" fontId="0" fillId="0" borderId="1" xfId="0" applyBorder="1" applyAlignment="1">
      <alignment horizontal="center"/>
    </xf>
    <xf numFmtId="0" fontId="0" fillId="0" borderId="1" xfId="0" applyFill="1" applyBorder="1"/>
    <xf numFmtId="167" fontId="12" fillId="0" borderId="1" xfId="0" applyNumberFormat="1" applyFont="1" applyFill="1" applyBorder="1"/>
    <xf numFmtId="1" fontId="12" fillId="0" borderId="1" xfId="0" applyNumberFormat="1" applyFont="1" applyFill="1" applyBorder="1"/>
    <xf numFmtId="0" fontId="0" fillId="0" borderId="4" xfId="0" applyBorder="1"/>
    <xf numFmtId="0" fontId="0" fillId="0" borderId="6" xfId="0" applyFill="1" applyBorder="1" applyAlignment="1">
      <alignment horizontal="left" indent="3"/>
    </xf>
    <xf numFmtId="0" fontId="0" fillId="0" borderId="6" xfId="0" applyFill="1" applyBorder="1"/>
    <xf numFmtId="165" fontId="12" fillId="0" borderId="6" xfId="0" applyNumberFormat="1" applyFont="1" applyFill="1" applyBorder="1"/>
    <xf numFmtId="0" fontId="3" fillId="0" borderId="15" xfId="0" applyFont="1" applyBorder="1"/>
    <xf numFmtId="0" fontId="0" fillId="0" borderId="15" xfId="0" applyBorder="1"/>
    <xf numFmtId="0" fontId="0" fillId="0" borderId="16" xfId="0" applyFill="1" applyBorder="1" applyAlignment="1">
      <alignment horizontal="left" indent="1"/>
    </xf>
    <xf numFmtId="0" fontId="0" fillId="0" borderId="17" xfId="0" applyFill="1" applyBorder="1"/>
    <xf numFmtId="167" fontId="12" fillId="0" borderId="17" xfId="0" applyNumberFormat="1" applyFont="1" applyFill="1" applyBorder="1"/>
    <xf numFmtId="0" fontId="0" fillId="0" borderId="18" xfId="0" applyFill="1" applyBorder="1" applyAlignment="1">
      <alignment horizontal="left" indent="1"/>
    </xf>
    <xf numFmtId="0" fontId="0" fillId="0" borderId="19" xfId="0" applyFill="1" applyBorder="1"/>
    <xf numFmtId="0" fontId="0" fillId="0" borderId="20" xfId="0" applyFill="1" applyBorder="1" applyAlignment="1">
      <alignment horizontal="left" indent="1"/>
    </xf>
    <xf numFmtId="0" fontId="0" fillId="0" borderId="5" xfId="0" applyFill="1" applyBorder="1"/>
    <xf numFmtId="165" fontId="12" fillId="0" borderId="5" xfId="0" applyNumberFormat="1" applyFont="1" applyFill="1" applyBorder="1"/>
    <xf numFmtId="0" fontId="0" fillId="0" borderId="21" xfId="0" applyFill="1" applyBorder="1"/>
    <xf numFmtId="0" fontId="0" fillId="0" borderId="1" xfId="0" applyBorder="1" applyAlignment="1">
      <alignment horizontal="center"/>
    </xf>
    <xf numFmtId="1" fontId="13" fillId="4" borderId="1" xfId="0" applyNumberFormat="1" applyFont="1" applyFill="1" applyBorder="1"/>
    <xf numFmtId="0" fontId="0" fillId="0" borderId="1" xfId="0" applyFont="1" applyBorder="1" applyAlignment="1">
      <alignment horizontal="left" indent="1"/>
    </xf>
    <xf numFmtId="0" fontId="0" fillId="0" borderId="1" xfId="0" applyFont="1" applyBorder="1" applyAlignment="1">
      <alignment horizontal="left" indent="2"/>
    </xf>
    <xf numFmtId="0" fontId="17" fillId="0" borderId="1" xfId="0" applyFont="1" applyBorder="1"/>
    <xf numFmtId="0" fontId="18" fillId="0" borderId="1" xfId="0" applyFont="1" applyBorder="1"/>
    <xf numFmtId="0" fontId="18" fillId="0" borderId="15" xfId="0" applyFont="1" applyBorder="1"/>
    <xf numFmtId="2" fontId="12" fillId="0" borderId="15" xfId="0" applyNumberFormat="1" applyFont="1" applyBorder="1"/>
    <xf numFmtId="0" fontId="12" fillId="0" borderId="0" xfId="0" applyFont="1"/>
    <xf numFmtId="1" fontId="12" fillId="0" borderId="0" xfId="0" applyNumberFormat="1" applyFont="1"/>
    <xf numFmtId="164" fontId="12" fillId="0" borderId="0" xfId="0" applyNumberFormat="1" applyFont="1"/>
    <xf numFmtId="2" fontId="12" fillId="0" borderId="0" xfId="0" applyNumberFormat="1" applyFont="1"/>
    <xf numFmtId="164" fontId="3" fillId="0" borderId="0" xfId="0" applyNumberFormat="1" applyFont="1"/>
    <xf numFmtId="167" fontId="3" fillId="0" borderId="1" xfId="1" applyNumberFormat="1" applyFont="1" applyBorder="1"/>
    <xf numFmtId="1" fontId="12" fillId="4" borderId="1" xfId="0" applyNumberFormat="1" applyFont="1" applyFill="1" applyBorder="1"/>
    <xf numFmtId="0" fontId="0" fillId="0" borderId="1" xfId="0" applyBorder="1" applyAlignment="1">
      <alignment horizontal="left"/>
    </xf>
    <xf numFmtId="43" fontId="12" fillId="4" borderId="1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Border="1"/>
    <xf numFmtId="46" fontId="0" fillId="0" borderId="0" xfId="0" applyNumberFormat="1" applyBorder="1"/>
    <xf numFmtId="2" fontId="2" fillId="0" borderId="1" xfId="0" applyNumberFormat="1" applyFont="1" applyBorder="1"/>
    <xf numFmtId="0" fontId="0" fillId="0" borderId="4" xfId="0" applyBorder="1" applyAlignment="1">
      <alignment horizontal="left" indent="1"/>
    </xf>
    <xf numFmtId="0" fontId="3" fillId="0" borderId="4" xfId="0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1" fontId="2" fillId="0" borderId="1" xfId="0" applyNumberFormat="1" applyFont="1" applyBorder="1"/>
    <xf numFmtId="0" fontId="2" fillId="0" borderId="1" xfId="0" applyFont="1" applyBorder="1"/>
    <xf numFmtId="0" fontId="3" fillId="4" borderId="1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left" indent="1"/>
    </xf>
    <xf numFmtId="0" fontId="0" fillId="4" borderId="0" xfId="0" applyFill="1" applyBorder="1"/>
    <xf numFmtId="165" fontId="12" fillId="4" borderId="0" xfId="0" applyNumberFormat="1" applyFont="1" applyFill="1" applyBorder="1"/>
    <xf numFmtId="0" fontId="0" fillId="4" borderId="1" xfId="0" applyFill="1" applyBorder="1" applyAlignment="1">
      <alignment horizontal="center"/>
    </xf>
    <xf numFmtId="0" fontId="0" fillId="0" borderId="2" xfId="0" applyBorder="1"/>
    <xf numFmtId="165" fontId="12" fillId="4" borderId="1" xfId="0" applyNumberFormat="1" applyFont="1" applyFill="1" applyBorder="1"/>
    <xf numFmtId="0" fontId="3" fillId="4" borderId="0" xfId="0" applyFont="1" applyFill="1" applyBorder="1"/>
    <xf numFmtId="2" fontId="3" fillId="4" borderId="1" xfId="0" applyNumberFormat="1" applyFont="1" applyFill="1" applyBorder="1"/>
    <xf numFmtId="1" fontId="3" fillId="4" borderId="1" xfId="0" applyNumberFormat="1" applyFont="1" applyFill="1" applyBorder="1"/>
    <xf numFmtId="0" fontId="3" fillId="4" borderId="0" xfId="0" applyFont="1" applyFill="1"/>
    <xf numFmtId="0" fontId="0" fillId="4" borderId="4" xfId="0" applyFill="1" applyBorder="1" applyAlignment="1">
      <alignment horizontal="left" indent="1"/>
    </xf>
    <xf numFmtId="165" fontId="2" fillId="4" borderId="1" xfId="0" applyNumberFormat="1" applyFont="1" applyFill="1" applyBorder="1"/>
    <xf numFmtId="0" fontId="0" fillId="0" borderId="6" xfId="0" applyBorder="1"/>
    <xf numFmtId="0" fontId="0" fillId="4" borderId="6" xfId="0" applyFill="1" applyBorder="1"/>
    <xf numFmtId="0" fontId="0" fillId="4" borderId="18" xfId="0" applyFill="1" applyBorder="1"/>
    <xf numFmtId="0" fontId="0" fillId="0" borderId="19" xfId="0" applyBorder="1"/>
    <xf numFmtId="0" fontId="0" fillId="0" borderId="18" xfId="0" applyBorder="1"/>
    <xf numFmtId="0" fontId="0" fillId="0" borderId="20" xfId="0" applyBorder="1"/>
    <xf numFmtId="0" fontId="0" fillId="0" borderId="21" xfId="0" applyBorder="1"/>
    <xf numFmtId="0" fontId="2" fillId="4" borderId="1" xfId="0" applyFont="1" applyFill="1" applyBorder="1"/>
    <xf numFmtId="1" fontId="2" fillId="4" borderId="1" xfId="0" applyNumberFormat="1" applyFont="1" applyFill="1" applyBorder="1"/>
    <xf numFmtId="2" fontId="2" fillId="4" borderId="1" xfId="0" applyNumberFormat="1" applyFont="1" applyFill="1" applyBorder="1"/>
    <xf numFmtId="1" fontId="2" fillId="4" borderId="5" xfId="0" applyNumberFormat="1" applyFont="1" applyFill="1" applyBorder="1"/>
    <xf numFmtId="1" fontId="2" fillId="0" borderId="5" xfId="0" applyNumberFormat="1" applyFont="1" applyBorder="1"/>
    <xf numFmtId="0" fontId="0" fillId="0" borderId="15" xfId="0" applyBorder="1" applyAlignment="1">
      <alignment horizontal="center"/>
    </xf>
    <xf numFmtId="0" fontId="0" fillId="0" borderId="5" xfId="0" applyBorder="1"/>
    <xf numFmtId="165" fontId="12" fillId="0" borderId="5" xfId="0" applyNumberFormat="1" applyFont="1" applyBorder="1"/>
    <xf numFmtId="0" fontId="5" fillId="0" borderId="5" xfId="0" applyFont="1" applyBorder="1"/>
    <xf numFmtId="0" fontId="16" fillId="0" borderId="5" xfId="0" applyFont="1" applyBorder="1"/>
    <xf numFmtId="0" fontId="5" fillId="0" borderId="15" xfId="0" applyFont="1" applyBorder="1"/>
    <xf numFmtId="0" fontId="16" fillId="0" borderId="15" xfId="0" applyFont="1" applyBorder="1"/>
    <xf numFmtId="0" fontId="0" fillId="4" borderId="5" xfId="0" applyFill="1" applyBorder="1" applyAlignment="1">
      <alignment horizontal="left" indent="2"/>
    </xf>
    <xf numFmtId="0" fontId="0" fillId="4" borderId="5" xfId="0" applyFill="1" applyBorder="1"/>
    <xf numFmtId="1" fontId="12" fillId="4" borderId="5" xfId="0" applyNumberFormat="1" applyFont="1" applyFill="1" applyBorder="1"/>
    <xf numFmtId="0" fontId="0" fillId="0" borderId="1" xfId="0" applyFont="1" applyBorder="1"/>
    <xf numFmtId="0" fontId="9" fillId="0" borderId="0" xfId="0" applyFont="1" applyAlignment="1">
      <alignment horizontal="left"/>
    </xf>
    <xf numFmtId="0" fontId="20" fillId="0" borderId="0" xfId="0" applyFont="1"/>
    <xf numFmtId="0" fontId="9" fillId="2" borderId="1" xfId="0" applyFont="1" applyFill="1" applyBorder="1" applyAlignment="1">
      <alignment horizontal="left"/>
    </xf>
    <xf numFmtId="11" fontId="13" fillId="2" borderId="1" xfId="0" applyNumberFormat="1" applyFont="1" applyFill="1" applyBorder="1"/>
    <xf numFmtId="1" fontId="13" fillId="2" borderId="1" xfId="0" applyNumberFormat="1" applyFont="1" applyFill="1" applyBorder="1"/>
    <xf numFmtId="2" fontId="11" fillId="2" borderId="1" xfId="0" applyNumberFormat="1" applyFont="1" applyFill="1" applyBorder="1"/>
    <xf numFmtId="0" fontId="22" fillId="2" borderId="4" xfId="0" applyFont="1" applyFill="1" applyBorder="1"/>
    <xf numFmtId="0" fontId="9" fillId="2" borderId="1" xfId="0" applyFont="1" applyFill="1" applyBorder="1"/>
    <xf numFmtId="0" fontId="9" fillId="6" borderId="0" xfId="0" applyFont="1" applyFill="1"/>
    <xf numFmtId="169" fontId="11" fillId="2" borderId="1" xfId="0" applyNumberFormat="1" applyFont="1" applyFill="1" applyBorder="1"/>
    <xf numFmtId="0" fontId="9" fillId="2" borderId="4" xfId="0" applyFont="1" applyFill="1" applyBorder="1"/>
    <xf numFmtId="0" fontId="11" fillId="2" borderId="1" xfId="0" applyFont="1" applyFill="1" applyBorder="1"/>
    <xf numFmtId="0" fontId="11" fillId="6" borderId="0" xfId="0" applyFont="1" applyFill="1"/>
    <xf numFmtId="164" fontId="8" fillId="2" borderId="1" xfId="0" applyNumberFormat="1" applyFont="1" applyFill="1" applyBorder="1"/>
    <xf numFmtId="0" fontId="9" fillId="2" borderId="1" xfId="0" applyFont="1" applyFill="1" applyBorder="1" applyAlignment="1">
      <alignment horizontal="left" indent="2"/>
    </xf>
    <xf numFmtId="169" fontId="11" fillId="2" borderId="2" xfId="0" applyNumberFormat="1" applyFont="1" applyFill="1" applyBorder="1"/>
    <xf numFmtId="11" fontId="11" fillId="2" borderId="1" xfId="0" applyNumberFormat="1" applyFont="1" applyFill="1" applyBorder="1"/>
    <xf numFmtId="164" fontId="11" fillId="2" borderId="1" xfId="0" applyNumberFormat="1" applyFont="1" applyFill="1" applyBorder="1"/>
    <xf numFmtId="169" fontId="11" fillId="6" borderId="0" xfId="0" applyNumberFormat="1" applyFont="1" applyFill="1"/>
    <xf numFmtId="0" fontId="9" fillId="6" borderId="0" xfId="0" applyFont="1" applyFill="1" applyAlignment="1">
      <alignment horizontal="left"/>
    </xf>
    <xf numFmtId="0" fontId="23" fillId="0" borderId="0" xfId="0" applyFont="1"/>
    <xf numFmtId="168" fontId="9" fillId="0" borderId="0" xfId="0" applyNumberFormat="1" applyFont="1"/>
    <xf numFmtId="0" fontId="25" fillId="0" borderId="0" xfId="0" applyFont="1"/>
    <xf numFmtId="1" fontId="25" fillId="0" borderId="0" xfId="0" applyNumberFormat="1" applyFont="1"/>
    <xf numFmtId="9" fontId="25" fillId="0" borderId="0" xfId="0" applyNumberFormat="1" applyFont="1"/>
    <xf numFmtId="170" fontId="12" fillId="0" borderId="1" xfId="1" applyNumberFormat="1" applyFont="1" applyBorder="1"/>
    <xf numFmtId="0" fontId="0" fillId="0" borderId="15" xfId="0" applyBorder="1" applyAlignment="1">
      <alignment horizontal="left" indent="1"/>
    </xf>
    <xf numFmtId="1" fontId="12" fillId="0" borderId="15" xfId="0" applyNumberFormat="1" applyFont="1" applyBorder="1"/>
    <xf numFmtId="0" fontId="0" fillId="4" borderId="5" xfId="0" applyFill="1" applyBorder="1" applyAlignment="1">
      <alignment horizontal="left" indent="1"/>
    </xf>
    <xf numFmtId="9" fontId="12" fillId="0" borderId="1" xfId="2" applyFont="1" applyFill="1" applyBorder="1"/>
    <xf numFmtId="9" fontId="12" fillId="0" borderId="1" xfId="2" applyFont="1" applyBorder="1"/>
    <xf numFmtId="0" fontId="0" fillId="0" borderId="1" xfId="0" applyFill="1" applyBorder="1" applyAlignment="1">
      <alignment horizontal="left" indent="1"/>
    </xf>
    <xf numFmtId="0" fontId="0" fillId="4" borderId="1" xfId="0" applyFont="1" applyFill="1" applyBorder="1" applyAlignment="1">
      <alignment horizontal="left" indent="1"/>
    </xf>
    <xf numFmtId="0" fontId="3" fillId="4" borderId="1" xfId="0" applyFont="1" applyFill="1" applyBorder="1"/>
    <xf numFmtId="0" fontId="0" fillId="4" borderId="1" xfId="0" applyFill="1" applyBorder="1" applyAlignment="1">
      <alignment horizontal="left" indent="2"/>
    </xf>
    <xf numFmtId="0" fontId="0" fillId="4" borderId="1" xfId="0" applyFont="1" applyFill="1" applyBorder="1"/>
    <xf numFmtId="165" fontId="0" fillId="0" borderId="1" xfId="0" applyNumberFormat="1" applyFont="1" applyBorder="1"/>
    <xf numFmtId="0" fontId="13" fillId="0" borderId="1" xfId="0" applyFont="1" applyBorder="1"/>
    <xf numFmtId="0" fontId="13" fillId="2" borderId="1" xfId="0" applyFont="1" applyFill="1" applyBorder="1"/>
    <xf numFmtId="164" fontId="13" fillId="0" borderId="1" xfId="0" applyNumberFormat="1" applyFont="1" applyBorder="1"/>
    <xf numFmtId="168" fontId="8" fillId="0" borderId="1" xfId="0" applyNumberFormat="1" applyFont="1" applyBorder="1"/>
    <xf numFmtId="168" fontId="8" fillId="0" borderId="6" xfId="0" applyNumberFormat="1" applyFont="1" applyBorder="1"/>
    <xf numFmtId="164" fontId="12" fillId="0" borderId="1" xfId="0" applyNumberFormat="1" applyFont="1" applyFill="1" applyBorder="1"/>
    <xf numFmtId="0" fontId="9" fillId="4" borderId="1" xfId="0" applyFont="1" applyFill="1" applyBorder="1" applyAlignment="1">
      <alignment horizontal="left" indent="2"/>
    </xf>
    <xf numFmtId="1" fontId="11" fillId="4" borderId="1" xfId="0" applyNumberFormat="1" applyFont="1" applyFill="1" applyBorder="1" applyAlignment="1">
      <alignment horizontal="center"/>
    </xf>
    <xf numFmtId="0" fontId="26" fillId="4" borderId="1" xfId="0" applyFont="1" applyFill="1" applyBorder="1" applyAlignment="1">
      <alignment horizontal="left" indent="2"/>
    </xf>
    <xf numFmtId="0" fontId="0" fillId="0" borderId="0" xfId="0" applyAlignment="1">
      <alignment horizontal="left" indent="2"/>
    </xf>
    <xf numFmtId="0" fontId="9" fillId="0" borderId="0" xfId="0" applyFont="1" applyFill="1" applyBorder="1" applyAlignment="1">
      <alignment horizontal="left" indent="1"/>
    </xf>
    <xf numFmtId="1" fontId="13" fillId="0" borderId="0" xfId="0" applyNumberFormat="1" applyFont="1" applyBorder="1"/>
    <xf numFmtId="165" fontId="11" fillId="2" borderId="0" xfId="0" applyNumberFormat="1" applyFont="1" applyFill="1" applyBorder="1"/>
    <xf numFmtId="165" fontId="13" fillId="0" borderId="0" xfId="0" applyNumberFormat="1" applyFont="1" applyBorder="1"/>
    <xf numFmtId="1" fontId="14" fillId="0" borderId="0" xfId="0" applyNumberFormat="1" applyFont="1" applyBorder="1"/>
    <xf numFmtId="167" fontId="11" fillId="2" borderId="0" xfId="1" applyNumberFormat="1" applyFont="1" applyFill="1" applyBorder="1"/>
    <xf numFmtId="0" fontId="15" fillId="0" borderId="1" xfId="0" applyFont="1" applyBorder="1"/>
    <xf numFmtId="1" fontId="15" fillId="0" borderId="1" xfId="0" applyNumberFormat="1" applyFont="1" applyBorder="1"/>
    <xf numFmtId="167" fontId="11" fillId="2" borderId="1" xfId="1" applyNumberFormat="1" applyFont="1" applyFill="1" applyBorder="1"/>
    <xf numFmtId="1" fontId="14" fillId="0" borderId="1" xfId="0" applyNumberFormat="1" applyFont="1" applyBorder="1"/>
    <xf numFmtId="0" fontId="9" fillId="0" borderId="1" xfId="0" applyFont="1" applyFill="1" applyBorder="1" applyAlignment="1">
      <alignment horizontal="left" indent="2"/>
    </xf>
    <xf numFmtId="167" fontId="13" fillId="0" borderId="1" xfId="1" applyNumberFormat="1" applyFont="1" applyBorder="1"/>
    <xf numFmtId="0" fontId="14" fillId="0" borderId="1" xfId="0" applyFont="1" applyBorder="1"/>
    <xf numFmtId="2" fontId="13" fillId="0" borderId="1" xfId="0" applyNumberFormat="1" applyFont="1" applyBorder="1"/>
    <xf numFmtId="0" fontId="8" fillId="0" borderId="1" xfId="0" applyFont="1" applyFill="1" applyBorder="1" applyAlignment="1">
      <alignment horizontal="left"/>
    </xf>
    <xf numFmtId="0" fontId="15" fillId="0" borderId="1" xfId="0" applyFont="1" applyBorder="1" applyAlignment="1">
      <alignment horizontal="left" indent="1"/>
    </xf>
    <xf numFmtId="0" fontId="15" fillId="0" borderId="15" xfId="0" applyFont="1" applyBorder="1"/>
    <xf numFmtId="2" fontId="13" fillId="0" borderId="15" xfId="0" applyNumberFormat="1" applyFont="1" applyBorder="1"/>
    <xf numFmtId="0" fontId="15" fillId="0" borderId="5" xfId="0" applyFont="1" applyBorder="1"/>
    <xf numFmtId="1" fontId="13" fillId="0" borderId="5" xfId="0" applyNumberFormat="1" applyFont="1" applyBorder="1"/>
    <xf numFmtId="0" fontId="15" fillId="0" borderId="15" xfId="0" applyFont="1" applyBorder="1" applyAlignment="1">
      <alignment horizontal="left" indent="1"/>
    </xf>
    <xf numFmtId="1" fontId="13" fillId="0" borderId="15" xfId="0" applyNumberFormat="1" applyFont="1" applyBorder="1"/>
    <xf numFmtId="0" fontId="8" fillId="0" borderId="15" xfId="0" applyFont="1" applyFill="1" applyBorder="1" applyAlignment="1">
      <alignment horizontal="left"/>
    </xf>
    <xf numFmtId="1" fontId="15" fillId="0" borderId="5" xfId="0" applyNumberFormat="1" applyFont="1" applyBorder="1"/>
    <xf numFmtId="167" fontId="11" fillId="2" borderId="5" xfId="1" applyNumberFormat="1" applyFont="1" applyFill="1" applyBorder="1"/>
    <xf numFmtId="0" fontId="15" fillId="0" borderId="6" xfId="0" applyFont="1" applyBorder="1"/>
    <xf numFmtId="0" fontId="15" fillId="0" borderId="1" xfId="0" applyFont="1" applyBorder="1" applyAlignment="1"/>
    <xf numFmtId="0" fontId="15" fillId="0" borderId="15" xfId="0" applyFont="1" applyBorder="1" applyAlignment="1"/>
    <xf numFmtId="171" fontId="11" fillId="2" borderId="1" xfId="1" applyNumberFormat="1" applyFont="1" applyFill="1" applyBorder="1"/>
    <xf numFmtId="171" fontId="11" fillId="2" borderId="1" xfId="0" applyNumberFormat="1" applyFont="1" applyFill="1" applyBorder="1"/>
    <xf numFmtId="3" fontId="13" fillId="2" borderId="1" xfId="0" applyNumberFormat="1" applyFont="1" applyFill="1" applyBorder="1"/>
    <xf numFmtId="43" fontId="11" fillId="2" borderId="15" xfId="1" applyNumberFormat="1" applyFont="1" applyFill="1" applyBorder="1"/>
    <xf numFmtId="1" fontId="15" fillId="0" borderId="15" xfId="0" applyNumberFormat="1" applyFont="1" applyBorder="1"/>
    <xf numFmtId="0" fontId="14" fillId="0" borderId="0" xfId="0" applyFont="1"/>
    <xf numFmtId="1" fontId="11" fillId="2" borderId="6" xfId="0" applyNumberFormat="1" applyFont="1" applyFill="1" applyBorder="1"/>
    <xf numFmtId="164" fontId="3" fillId="0" borderId="1" xfId="0" applyNumberFormat="1" applyFont="1" applyBorder="1"/>
    <xf numFmtId="165" fontId="15" fillId="2" borderId="1" xfId="0" applyNumberFormat="1" applyFont="1" applyFill="1" applyBorder="1"/>
    <xf numFmtId="0" fontId="9" fillId="0" borderId="1" xfId="0" applyFont="1" applyFill="1" applyBorder="1" applyAlignment="1">
      <alignment horizontal="left"/>
    </xf>
    <xf numFmtId="167" fontId="14" fillId="2" borderId="1" xfId="1" applyNumberFormat="1" applyFont="1" applyFill="1" applyBorder="1"/>
    <xf numFmtId="1" fontId="8" fillId="0" borderId="1" xfId="0" applyNumberFormat="1" applyFont="1" applyBorder="1"/>
    <xf numFmtId="167" fontId="14" fillId="2" borderId="15" xfId="1" applyNumberFormat="1" applyFont="1" applyFill="1" applyBorder="1" applyAlignment="1">
      <alignment horizontal="center"/>
    </xf>
    <xf numFmtId="164" fontId="8" fillId="4" borderId="1" xfId="0" applyNumberFormat="1" applyFont="1" applyFill="1" applyBorder="1"/>
    <xf numFmtId="164" fontId="13" fillId="4" borderId="1" xfId="0" applyNumberFormat="1" applyFont="1" applyFill="1" applyBorder="1"/>
    <xf numFmtId="164" fontId="13" fillId="0" borderId="15" xfId="0" applyNumberFormat="1" applyFont="1" applyBorder="1"/>
    <xf numFmtId="172" fontId="11" fillId="2" borderId="1" xfId="1" applyNumberFormat="1" applyFont="1" applyFill="1" applyBorder="1"/>
    <xf numFmtId="167" fontId="12" fillId="0" borderId="1" xfId="0" applyNumberFormat="1" applyFont="1" applyBorder="1"/>
    <xf numFmtId="167" fontId="3" fillId="0" borderId="1" xfId="0" applyNumberFormat="1" applyFont="1" applyBorder="1"/>
    <xf numFmtId="2" fontId="12" fillId="0" borderId="1" xfId="0" applyNumberFormat="1" applyFont="1" applyFill="1" applyBorder="1"/>
    <xf numFmtId="167" fontId="12" fillId="0" borderId="1" xfId="1" applyNumberFormat="1" applyFont="1" applyFill="1" applyBorder="1"/>
    <xf numFmtId="0" fontId="0" fillId="0" borderId="0" xfId="0" applyFill="1" applyAlignment="1">
      <alignment horizontal="left" indent="1"/>
    </xf>
    <xf numFmtId="43" fontId="12" fillId="0" borderId="1" xfId="0" applyNumberFormat="1" applyFont="1" applyFill="1" applyBorder="1"/>
    <xf numFmtId="0" fontId="0" fillId="0" borderId="1" xfId="0" applyFill="1" applyBorder="1" applyAlignment="1">
      <alignment horizontal="left" indent="2"/>
    </xf>
    <xf numFmtId="9" fontId="3" fillId="0" borderId="1" xfId="2" applyFont="1" applyFill="1" applyBorder="1"/>
    <xf numFmtId="1" fontId="3" fillId="0" borderId="1" xfId="0" applyNumberFormat="1" applyFont="1" applyBorder="1"/>
    <xf numFmtId="0" fontId="9" fillId="0" borderId="4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0" fillId="0" borderId="5" xfId="0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0" fillId="0" borderId="2" xfId="0" applyFont="1" applyBorder="1" applyAlignment="1">
      <alignment horizontal="left" wrapText="1"/>
    </xf>
    <xf numFmtId="0" fontId="0" fillId="0" borderId="3" xfId="0" applyFont="1" applyBorder="1" applyAlignment="1">
      <alignment horizontal="left" wrapText="1"/>
    </xf>
    <xf numFmtId="0" fontId="0" fillId="0" borderId="4" xfId="0" applyFont="1" applyBorder="1" applyAlignment="1">
      <alignment horizontal="left" wrapText="1"/>
    </xf>
    <xf numFmtId="0" fontId="16" fillId="0" borderId="2" xfId="0" applyFont="1" applyBorder="1" applyAlignment="1">
      <alignment horizontal="left"/>
    </xf>
    <xf numFmtId="0" fontId="16" fillId="0" borderId="3" xfId="0" applyFont="1" applyBorder="1" applyAlignment="1">
      <alignment horizontal="left"/>
    </xf>
    <xf numFmtId="0" fontId="16" fillId="0" borderId="4" xfId="0" applyFont="1" applyBorder="1" applyAlignment="1">
      <alignment horizontal="left"/>
    </xf>
    <xf numFmtId="0" fontId="9" fillId="0" borderId="1" xfId="0" applyFont="1" applyFill="1" applyBorder="1" applyAlignment="1">
      <alignment horizontal="left" vertical="center" indent="1"/>
    </xf>
    <xf numFmtId="169" fontId="14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5" fillId="0" borderId="6" xfId="0" applyFont="1" applyBorder="1" applyAlignment="1">
      <alignment horizontal="left" vertical="center" indent="1"/>
    </xf>
    <xf numFmtId="0" fontId="15" fillId="0" borderId="31" xfId="0" applyFont="1" applyBorder="1" applyAlignment="1">
      <alignment horizontal="left" vertical="center" indent="1"/>
    </xf>
    <xf numFmtId="0" fontId="15" fillId="0" borderId="32" xfId="0" applyFont="1" applyBorder="1" applyAlignment="1">
      <alignment horizontal="left" vertical="center" indent="1"/>
    </xf>
    <xf numFmtId="0" fontId="9" fillId="0" borderId="31" xfId="0" applyFont="1" applyFill="1" applyBorder="1" applyAlignment="1">
      <alignment horizontal="left" vertical="center" indent="1"/>
    </xf>
    <xf numFmtId="0" fontId="9" fillId="0" borderId="32" xfId="0" applyFont="1" applyFill="1" applyBorder="1" applyAlignment="1">
      <alignment horizontal="left" vertical="center" indent="1"/>
    </xf>
    <xf numFmtId="0" fontId="8" fillId="2" borderId="2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9" fillId="0" borderId="5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3" xfId="0" applyFont="1" applyBorder="1" applyAlignment="1">
      <alignment horizontal="left"/>
    </xf>
    <xf numFmtId="0" fontId="9" fillId="0" borderId="4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22" fillId="2" borderId="2" xfId="0" applyFont="1" applyFill="1" applyBorder="1" applyAlignment="1">
      <alignment horizontal="left"/>
    </xf>
    <xf numFmtId="0" fontId="22" fillId="2" borderId="4" xfId="0" applyFont="1" applyFill="1" applyBorder="1" applyAlignment="1">
      <alignment horizontal="left"/>
    </xf>
    <xf numFmtId="0" fontId="21" fillId="5" borderId="25" xfId="0" applyFont="1" applyFill="1" applyBorder="1" applyAlignment="1">
      <alignment horizontal="center"/>
    </xf>
    <xf numFmtId="0" fontId="21" fillId="5" borderId="26" xfId="0" applyFont="1" applyFill="1" applyBorder="1" applyAlignment="1">
      <alignment horizontal="center"/>
    </xf>
    <xf numFmtId="0" fontId="9" fillId="5" borderId="27" xfId="0" applyFont="1" applyFill="1" applyBorder="1" applyAlignment="1">
      <alignment horizontal="center"/>
    </xf>
    <xf numFmtId="0" fontId="9" fillId="5" borderId="28" xfId="0" applyFont="1" applyFill="1" applyBorder="1" applyAlignment="1">
      <alignment horizontal="center"/>
    </xf>
    <xf numFmtId="0" fontId="21" fillId="5" borderId="29" xfId="0" applyFont="1" applyFill="1" applyBorder="1" applyAlignment="1">
      <alignment horizontal="center"/>
    </xf>
    <xf numFmtId="0" fontId="21" fillId="5" borderId="30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21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1" fontId="13" fillId="2" borderId="0" xfId="0" applyNumberFormat="1" applyFont="1" applyFill="1" applyBorder="1"/>
    <xf numFmtId="0" fontId="8" fillId="2" borderId="0" xfId="0" applyFont="1" applyFill="1" applyBorder="1"/>
    <xf numFmtId="2" fontId="11" fillId="2" borderId="0" xfId="0" applyNumberFormat="1" applyFont="1" applyFill="1" applyBorder="1"/>
    <xf numFmtId="0" fontId="22" fillId="2" borderId="0" xfId="0" applyFont="1" applyFill="1" applyBorder="1" applyAlignment="1">
      <alignment horizontal="left"/>
    </xf>
    <xf numFmtId="164" fontId="8" fillId="2" borderId="0" xfId="0" applyNumberFormat="1" applyFont="1" applyFill="1" applyBorder="1"/>
    <xf numFmtId="169" fontId="11" fillId="2" borderId="0" xfId="0" applyNumberFormat="1" applyFont="1" applyFill="1" applyBorder="1"/>
    <xf numFmtId="11" fontId="11" fillId="2" borderId="0" xfId="0" applyNumberFormat="1" applyFont="1" applyFill="1" applyBorder="1"/>
    <xf numFmtId="164" fontId="11" fillId="2" borderId="0" xfId="0" applyNumberFormat="1" applyFont="1" applyFill="1" applyBorder="1"/>
    <xf numFmtId="1" fontId="14" fillId="0" borderId="15" xfId="0" applyNumberFormat="1" applyFont="1" applyBorder="1" applyAlignment="1">
      <alignment horizontal="center"/>
    </xf>
    <xf numFmtId="0" fontId="8" fillId="0" borderId="0" xfId="0" applyFont="1"/>
    <xf numFmtId="1" fontId="14" fillId="2" borderId="2" xfId="0" applyNumberFormat="1" applyFont="1" applyFill="1" applyBorder="1"/>
    <xf numFmtId="1" fontId="13" fillId="2" borderId="2" xfId="0" applyNumberFormat="1" applyFont="1" applyFill="1" applyBorder="1"/>
    <xf numFmtId="0" fontId="13" fillId="2" borderId="2" xfId="0" applyFont="1" applyFill="1" applyBorder="1"/>
    <xf numFmtId="3" fontId="13" fillId="2" borderId="2" xfId="0" applyNumberFormat="1" applyFont="1" applyFill="1" applyBorder="1"/>
    <xf numFmtId="11" fontId="8" fillId="2" borderId="2" xfId="0" applyNumberFormat="1" applyFont="1" applyFill="1" applyBorder="1"/>
    <xf numFmtId="11" fontId="13" fillId="2" borderId="2" xfId="0" applyNumberFormat="1" applyFont="1" applyFill="1" applyBorder="1"/>
    <xf numFmtId="0" fontId="8" fillId="2" borderId="2" xfId="0" applyFont="1" applyFill="1" applyBorder="1"/>
    <xf numFmtId="0" fontId="13" fillId="2" borderId="2" xfId="0" applyFont="1" applyFill="1" applyBorder="1" applyAlignment="1">
      <alignment horizontal="center"/>
    </xf>
    <xf numFmtId="2" fontId="11" fillId="2" borderId="2" xfId="0" applyNumberFormat="1" applyFont="1" applyFill="1" applyBorder="1"/>
    <xf numFmtId="1" fontId="11" fillId="2" borderId="2" xfId="0" applyNumberFormat="1" applyFont="1" applyFill="1" applyBorder="1"/>
    <xf numFmtId="0" fontId="9" fillId="2" borderId="2" xfId="0" applyFont="1" applyFill="1" applyBorder="1"/>
    <xf numFmtId="0" fontId="9" fillId="0" borderId="4" xfId="0" applyFont="1" applyBorder="1"/>
    <xf numFmtId="2" fontId="13" fillId="2" borderId="1" xfId="0" applyNumberFormat="1" applyFont="1" applyFill="1" applyBorder="1"/>
    <xf numFmtId="1" fontId="13" fillId="2" borderId="1" xfId="0" applyNumberFormat="1" applyFont="1" applyFill="1" applyBorder="1" applyAlignment="1">
      <alignment horizontal="center"/>
    </xf>
    <xf numFmtId="167" fontId="13" fillId="0" borderId="0" xfId="1" applyNumberFormat="1" applyFont="1" applyBorder="1"/>
    <xf numFmtId="43" fontId="15" fillId="0" borderId="0" xfId="0" applyNumberFormat="1" applyFont="1"/>
    <xf numFmtId="1" fontId="13" fillId="0" borderId="0" xfId="0" applyNumberFormat="1" applyFont="1"/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State of Stress below a cylinder on a flat plate</a:t>
            </a:r>
          </a:p>
        </c:rich>
      </c:tx>
      <c:layout>
        <c:manualLayout>
          <c:xMode val="edge"/>
          <c:yMode val="edge"/>
          <c:x val="0.26149353553028098"/>
          <c:y val="7.31011686453101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352203695458499"/>
          <c:y val="0.169046259280411"/>
          <c:w val="0.79291601504016396"/>
          <c:h val="0.712735579668761"/>
        </c:manualLayout>
      </c:layout>
      <c:scatterChart>
        <c:scatterStyle val="smoothMarker"/>
        <c:varyColors val="0"/>
        <c:ser>
          <c:idx val="2"/>
          <c:order val="0"/>
          <c:tx>
            <c:strRef>
              <c:f>[3]Data!$G$4</c:f>
              <c:strCache>
                <c:ptCount val="1"/>
                <c:pt idx="0">
                  <c:v>tyx/sultimate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[3]Data!$C$5:$C$55</c:f>
              <c:numCache>
                <c:formatCode>General</c:formatCode>
                <c:ptCount val="51"/>
                <c:pt idx="0">
                  <c:v>0</c:v>
                </c:pt>
                <c:pt idx="1">
                  <c:v>1.9843304275482442E-2</c:v>
                </c:pt>
                <c:pt idx="2">
                  <c:v>3.9686608550964883E-2</c:v>
                </c:pt>
                <c:pt idx="3">
                  <c:v>5.9529912826447325E-2</c:v>
                </c:pt>
                <c:pt idx="4">
                  <c:v>7.9373217101929766E-2</c:v>
                </c:pt>
                <c:pt idx="5">
                  <c:v>9.9216521377412215E-2</c:v>
                </c:pt>
                <c:pt idx="6">
                  <c:v>0.11905982565289465</c:v>
                </c:pt>
                <c:pt idx="7">
                  <c:v>0.13890312992837708</c:v>
                </c:pt>
                <c:pt idx="8">
                  <c:v>0.15874643420385953</c:v>
                </c:pt>
                <c:pt idx="9">
                  <c:v>0.17858973847934198</c:v>
                </c:pt>
                <c:pt idx="10">
                  <c:v>0.19843304275482443</c:v>
                </c:pt>
                <c:pt idx="11">
                  <c:v>0.21827634703030685</c:v>
                </c:pt>
                <c:pt idx="12">
                  <c:v>0.2381196513057893</c:v>
                </c:pt>
                <c:pt idx="13">
                  <c:v>0.25796295558127175</c:v>
                </c:pt>
                <c:pt idx="14">
                  <c:v>0.27780625985675417</c:v>
                </c:pt>
                <c:pt idx="15">
                  <c:v>0.29764956413223664</c:v>
                </c:pt>
                <c:pt idx="16">
                  <c:v>0.31749286840771906</c:v>
                </c:pt>
                <c:pt idx="17">
                  <c:v>0.33733617268320154</c:v>
                </c:pt>
                <c:pt idx="18">
                  <c:v>0.35717947695868396</c:v>
                </c:pt>
                <c:pt idx="19">
                  <c:v>0.37702278123416638</c:v>
                </c:pt>
                <c:pt idx="20">
                  <c:v>0.39686608550964886</c:v>
                </c:pt>
                <c:pt idx="21">
                  <c:v>0.41670938978513128</c:v>
                </c:pt>
                <c:pt idx="22">
                  <c:v>0.4365526940606137</c:v>
                </c:pt>
                <c:pt idx="23">
                  <c:v>0.45639599833609612</c:v>
                </c:pt>
                <c:pt idx="24">
                  <c:v>0.4762393026115786</c:v>
                </c:pt>
                <c:pt idx="25">
                  <c:v>0.49608260688706102</c:v>
                </c:pt>
                <c:pt idx="26">
                  <c:v>0.51592591116254349</c:v>
                </c:pt>
                <c:pt idx="27">
                  <c:v>0.53576921543802591</c:v>
                </c:pt>
                <c:pt idx="28">
                  <c:v>0.55561251971350833</c:v>
                </c:pt>
                <c:pt idx="29">
                  <c:v>0.57545582398899076</c:v>
                </c:pt>
                <c:pt idx="30">
                  <c:v>0.59529912826447329</c:v>
                </c:pt>
                <c:pt idx="31">
                  <c:v>0.61514243253995571</c:v>
                </c:pt>
                <c:pt idx="32">
                  <c:v>0.63498573681543813</c:v>
                </c:pt>
                <c:pt idx="33">
                  <c:v>0.65482904109092055</c:v>
                </c:pt>
                <c:pt idx="34">
                  <c:v>0.67467234536640308</c:v>
                </c:pt>
                <c:pt idx="35">
                  <c:v>0.6945156496418855</c:v>
                </c:pt>
                <c:pt idx="36">
                  <c:v>0.71435895391736792</c:v>
                </c:pt>
                <c:pt idx="37">
                  <c:v>0.73420225819285034</c:v>
                </c:pt>
                <c:pt idx="38">
                  <c:v>0.75404556246833276</c:v>
                </c:pt>
                <c:pt idx="39">
                  <c:v>0.7738888667438153</c:v>
                </c:pt>
                <c:pt idx="40">
                  <c:v>0.79373217101929772</c:v>
                </c:pt>
                <c:pt idx="41">
                  <c:v>0.81357547529478014</c:v>
                </c:pt>
                <c:pt idx="42">
                  <c:v>0.83341877957026256</c:v>
                </c:pt>
                <c:pt idx="43">
                  <c:v>0.85326208384574498</c:v>
                </c:pt>
                <c:pt idx="44">
                  <c:v>0.8731053881212274</c:v>
                </c:pt>
                <c:pt idx="45">
                  <c:v>0.89294869239670982</c:v>
                </c:pt>
                <c:pt idx="46">
                  <c:v>0.91279199667219224</c:v>
                </c:pt>
                <c:pt idx="47">
                  <c:v>0.93263530094767466</c:v>
                </c:pt>
                <c:pt idx="48">
                  <c:v>0.95247860522315719</c:v>
                </c:pt>
                <c:pt idx="49">
                  <c:v>0.97232190949863961</c:v>
                </c:pt>
                <c:pt idx="50">
                  <c:v>0.99216521377412203</c:v>
                </c:pt>
              </c:numCache>
            </c:numRef>
          </c:xVal>
          <c:yVal>
            <c:numRef>
              <c:f>[3]Data!$I$5:$I$55</c:f>
              <c:numCache>
                <c:formatCode>General</c:formatCode>
                <c:ptCount val="51"/>
                <c:pt idx="0">
                  <c:v>0</c:v>
                </c:pt>
                <c:pt idx="1">
                  <c:v>-2.2437728619227326E-2</c:v>
                </c:pt>
                <c:pt idx="2">
                  <c:v>-4.3968206177670277E-2</c:v>
                </c:pt>
                <c:pt idx="3">
                  <c:v>-6.4594638020603279E-2</c:v>
                </c:pt>
                <c:pt idx="4">
                  <c:v>-8.4322335015081573E-2</c:v>
                </c:pt>
                <c:pt idx="5">
                  <c:v>-0.10315866708723359</c:v>
                </c:pt>
                <c:pt idx="6">
                  <c:v>-0.12111299935539721</c:v>
                </c:pt>
                <c:pt idx="7">
                  <c:v>-0.13819661199683481</c:v>
                </c:pt>
                <c:pt idx="8">
                  <c:v>-0.15442260525138063</c:v>
                </c:pt>
                <c:pt idx="9">
                  <c:v>-0.16980579119009254</c:v>
                </c:pt>
                <c:pt idx="10">
                  <c:v>-0.18436257405560452</c:v>
                </c:pt>
                <c:pt idx="11">
                  <c:v>-0.19811082111004202</c:v>
                </c:pt>
                <c:pt idx="12">
                  <c:v>-0.21106972600478258</c:v>
                </c:pt>
                <c:pt idx="13">
                  <c:v>-0.2232596667145556</c:v>
                </c:pt>
                <c:pt idx="14">
                  <c:v>-0.23470206005872796</c:v>
                </c:pt>
                <c:pt idx="15">
                  <c:v>-0.24541921476897011</c:v>
                </c:pt>
                <c:pt idx="16">
                  <c:v>-0.25543418495995779</c:v>
                </c:pt>
                <c:pt idx="17">
                  <c:v>-0.26477062572432974</c:v>
                </c:pt>
                <c:pt idx="18">
                  <c:v>-0.27345265241138472</c:v>
                </c:pt>
                <c:pt idx="19">
                  <c:v>-0.28150470496778984</c:v>
                </c:pt>
                <c:pt idx="20">
                  <c:v>-0.28895141852466133</c:v>
                </c:pt>
                <c:pt idx="21">
                  <c:v>-0.29581750121518757</c:v>
                </c:pt>
                <c:pt idx="22">
                  <c:v>-0.30212762000643567</c:v>
                </c:pt>
                <c:pt idx="23">
                  <c:v>-0.30790629513327672</c:v>
                </c:pt>
                <c:pt idx="24">
                  <c:v>-0.31317780353594626</c:v>
                </c:pt>
                <c:pt idx="25">
                  <c:v>-0.31796609152907707</c:v>
                </c:pt>
                <c:pt idx="26">
                  <c:v>-0.32229469677188649</c:v>
                </c:pt>
                <c:pt idx="27">
                  <c:v>-0.3261866794682996</c:v>
                </c:pt>
                <c:pt idx="28">
                  <c:v>-0.32966456260329952</c:v>
                </c:pt>
                <c:pt idx="29">
                  <c:v>-0.33275028091802489</c:v>
                </c:pt>
                <c:pt idx="30">
                  <c:v>-0.33546513824090629</c:v>
                </c:pt>
                <c:pt idx="31">
                  <c:v>-0.3378297727247293</c:v>
                </c:pt>
                <c:pt idx="32">
                  <c:v>-0.33986412948883798</c:v>
                </c:pt>
                <c:pt idx="33">
                  <c:v>-0.34158744013041198</c:v>
                </c:pt>
                <c:pt idx="34">
                  <c:v>-0.34301820854728687</c:v>
                </c:pt>
                <c:pt idx="35">
                  <c:v>-0.34417420250548564</c:v>
                </c:pt>
                <c:pt idx="36">
                  <c:v>-0.34507245038583384</c:v>
                </c:pt>
                <c:pt idx="37">
                  <c:v>-0.34572924255402143</c:v>
                </c:pt>
                <c:pt idx="38">
                  <c:v>-0.34616013681571217</c:v>
                </c:pt>
                <c:pt idx="39">
                  <c:v>-0.34637996744125166</c:v>
                </c:pt>
                <c:pt idx="40">
                  <c:v>-0.34640285727184128</c:v>
                </c:pt>
                <c:pt idx="41">
                  <c:v>-0.34624223244950481</c:v>
                </c:pt>
                <c:pt idx="42">
                  <c:v>-0.34591083934569161</c:v>
                </c:pt>
                <c:pt idx="43">
                  <c:v>-0.34542076329700067</c:v>
                </c:pt>
                <c:pt idx="44">
                  <c:v>-0.34478344879052392</c:v>
                </c:pt>
                <c:pt idx="45">
                  <c:v>-0.34400972077498881</c:v>
                </c:pt>
                <c:pt idx="46">
                  <c:v>-0.34310980680675479</c:v>
                </c:pt>
                <c:pt idx="47">
                  <c:v>-0.34209335977137167</c:v>
                </c:pt>
                <c:pt idx="48">
                  <c:v>-0.34096948095148749</c:v>
                </c:pt>
                <c:pt idx="49">
                  <c:v>-0.33974674324023901</c:v>
                </c:pt>
                <c:pt idx="50">
                  <c:v>-0.33843321432569018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3DD-E846-803E-7CCF8F110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4602024"/>
        <c:axId val="-2134595448"/>
      </c:scatterChart>
      <c:valAx>
        <c:axId val="-21346020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below surface/contact width</a:t>
                </a:r>
              </a:p>
            </c:rich>
          </c:tx>
          <c:layout>
            <c:manualLayout>
              <c:xMode val="edge"/>
              <c:yMode val="edge"/>
              <c:x val="0.34753358607951801"/>
              <c:y val="0.906910477249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4595448"/>
        <c:crosses val="autoZero"/>
        <c:crossBetween val="midCat"/>
      </c:valAx>
      <c:valAx>
        <c:axId val="-2134595448"/>
        <c:scaling>
          <c:orientation val="minMax"/>
          <c:max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u="none" strike="noStrike" baseline="0">
                    <a:solidFill>
                      <a:srgbClr val="000000"/>
                    </a:solidFill>
                    <a:latin typeface="Symbol"/>
                  </a:rPr>
                  <a:t>t</a:t>
                </a:r>
                <a:r>
                  <a:rPr lang="en-US" sz="800" b="1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zy</a:t>
                </a:r>
                <a:r>
                  <a:rPr lang="en-US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shear stress/ultimate tensile stress</a:t>
                </a:r>
              </a:p>
            </c:rich>
          </c:tx>
          <c:layout>
            <c:manualLayout>
              <c:xMode val="edge"/>
              <c:yMode val="edge"/>
              <c:x val="5.3985612909497403E-2"/>
              <c:y val="0.25356937998644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346020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emf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wmf"/><Relationship Id="rId1" Type="http://schemas.openxmlformats.org/officeDocument/2006/relationships/image" Target="../media/image3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398952</xdr:colOff>
      <xdr:row>101</xdr:row>
      <xdr:rowOff>106388</xdr:rowOff>
    </xdr:from>
    <xdr:to>
      <xdr:col>5</xdr:col>
      <xdr:colOff>219623</xdr:colOff>
      <xdr:row>131</xdr:row>
      <xdr:rowOff>14562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952" y="19588587"/>
          <a:ext cx="8584336" cy="609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305864</xdr:colOff>
      <xdr:row>76</xdr:row>
      <xdr:rowOff>148712</xdr:rowOff>
    </xdr:from>
    <xdr:to>
      <xdr:col>12</xdr:col>
      <xdr:colOff>84578</xdr:colOff>
      <xdr:row>83</xdr:row>
      <xdr:rowOff>145985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31728" y="15282325"/>
          <a:ext cx="6481122" cy="11608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58</xdr:row>
      <xdr:rowOff>160020</xdr:rowOff>
    </xdr:from>
    <xdr:to>
      <xdr:col>4</xdr:col>
      <xdr:colOff>891540</xdr:colOff>
      <xdr:row>79</xdr:row>
      <xdr:rowOff>91440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381000</xdr:colOff>
      <xdr:row>35</xdr:row>
      <xdr:rowOff>7620</xdr:rowOff>
    </xdr:from>
    <xdr:to>
      <xdr:col>6</xdr:col>
      <xdr:colOff>198120</xdr:colOff>
      <xdr:row>51</xdr:row>
      <xdr:rowOff>45720</xdr:rowOff>
    </xdr:to>
    <xdr:pic>
      <xdr:nvPicPr>
        <xdr:cNvPr id="3" name="Picture 8" descr="magnet wheel footprint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21300" y="4668520"/>
          <a:ext cx="3944620" cy="2679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1562100</xdr:colOff>
      <xdr:row>34</xdr:row>
      <xdr:rowOff>22860</xdr:rowOff>
    </xdr:from>
    <xdr:to>
      <xdr:col>12</xdr:col>
      <xdr:colOff>736599</xdr:colOff>
      <xdr:row>34</xdr:row>
      <xdr:rowOff>121920</xdr:rowOff>
    </xdr:to>
    <xdr:pic>
      <xdr:nvPicPr>
        <xdr:cNvPr id="4" name="Picture 18" descr="C:\Program Files\Common Files\Microsoft Shared\Clipart\themes1\Lines\BD14710_.GIF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502400" y="4518660"/>
          <a:ext cx="7873999" cy="99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34</xdr:row>
      <xdr:rowOff>7620</xdr:rowOff>
    </xdr:from>
    <xdr:to>
      <xdr:col>4</xdr:col>
      <xdr:colOff>2744894</xdr:colOff>
      <xdr:row>34</xdr:row>
      <xdr:rowOff>106680</xdr:rowOff>
    </xdr:to>
    <xdr:pic>
      <xdr:nvPicPr>
        <xdr:cNvPr id="5" name="Picture 20" descr="C:\Program Files\Common Files\Microsoft Shared\Clipart\themes1\Lines\BD14710_.GIF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" y="4503420"/>
          <a:ext cx="7075594" cy="99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1607820</xdr:colOff>
      <xdr:row>57</xdr:row>
      <xdr:rowOff>144780</xdr:rowOff>
    </xdr:from>
    <xdr:to>
      <xdr:col>12</xdr:col>
      <xdr:colOff>767079</xdr:colOff>
      <xdr:row>58</xdr:row>
      <xdr:rowOff>76200</xdr:rowOff>
    </xdr:to>
    <xdr:pic>
      <xdr:nvPicPr>
        <xdr:cNvPr id="6" name="Picture 21" descr="C:\Program Files\Common Files\Microsoft Shared\Clipart\themes1\Lines\BD14710_.GIF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548120" y="8437880"/>
          <a:ext cx="7858759" cy="96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</xdr:colOff>
      <xdr:row>57</xdr:row>
      <xdr:rowOff>144780</xdr:rowOff>
    </xdr:from>
    <xdr:to>
      <xdr:col>4</xdr:col>
      <xdr:colOff>2798234</xdr:colOff>
      <xdr:row>58</xdr:row>
      <xdr:rowOff>76200</xdr:rowOff>
    </xdr:to>
    <xdr:pic>
      <xdr:nvPicPr>
        <xdr:cNvPr id="7" name="Picture 23" descr="C:\Program Files\Common Files\Microsoft Shared\Clipart\themes1\Lines\BD14710_.GIF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9060" y="8437880"/>
          <a:ext cx="7067974" cy="96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12700</xdr:colOff>
          <xdr:row>82</xdr:row>
          <xdr:rowOff>0</xdr:rowOff>
        </xdr:from>
        <xdr:to>
          <xdr:col>2</xdr:col>
          <xdr:colOff>0</xdr:colOff>
          <xdr:row>96</xdr:row>
          <xdr:rowOff>76200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3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203200</xdr:colOff>
          <xdr:row>52</xdr:row>
          <xdr:rowOff>12700</xdr:rowOff>
        </xdr:from>
        <xdr:to>
          <xdr:col>6</xdr:col>
          <xdr:colOff>596900</xdr:colOff>
          <xdr:row>54</xdr:row>
          <xdr:rowOff>63500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3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37</xdr:row>
      <xdr:rowOff>25400</xdr:rowOff>
    </xdr:from>
    <xdr:to>
      <xdr:col>5</xdr:col>
      <xdr:colOff>63500</xdr:colOff>
      <xdr:row>84</xdr:row>
      <xdr:rowOff>47579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511800"/>
          <a:ext cx="7772400" cy="957258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37</xdr:row>
      <xdr:rowOff>76200</xdr:rowOff>
    </xdr:from>
    <xdr:to>
      <xdr:col>14</xdr:col>
      <xdr:colOff>723900</xdr:colOff>
      <xdr:row>81</xdr:row>
      <xdr:rowOff>29358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1900" y="5562600"/>
          <a:ext cx="7772400" cy="8893958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88</xdr:row>
      <xdr:rowOff>114300</xdr:rowOff>
    </xdr:from>
    <xdr:to>
      <xdr:col>7</xdr:col>
      <xdr:colOff>762000</xdr:colOff>
      <xdr:row>109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5900" y="16370300"/>
          <a:ext cx="9842500" cy="4191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0</xdr:row>
      <xdr:rowOff>0</xdr:rowOff>
    </xdr:from>
    <xdr:to>
      <xdr:col>26</xdr:col>
      <xdr:colOff>266700</xdr:colOff>
      <xdr:row>29</xdr:row>
      <xdr:rowOff>117880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014700" y="0"/>
          <a:ext cx="10058400" cy="5878285"/>
        </a:xfrm>
        <a:prstGeom prst="rect">
          <a:avLst/>
        </a:prstGeom>
      </xdr:spPr>
    </xdr:pic>
    <xdr:clientData/>
  </xdr:twoCellAnchor>
  <xdr:twoCellAnchor editAs="oneCell">
    <xdr:from>
      <xdr:col>7</xdr:col>
      <xdr:colOff>45738</xdr:colOff>
      <xdr:row>31</xdr:row>
      <xdr:rowOff>135061</xdr:rowOff>
    </xdr:from>
    <xdr:to>
      <xdr:col>18</xdr:col>
      <xdr:colOff>736370</xdr:colOff>
      <xdr:row>52</xdr:row>
      <xdr:rowOff>40621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83651" y="6175844"/>
          <a:ext cx="9801502" cy="40799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520700</xdr:colOff>
      <xdr:row>8</xdr:row>
      <xdr:rowOff>101600</xdr:rowOff>
    </xdr:from>
    <xdr:to>
      <xdr:col>28</xdr:col>
      <xdr:colOff>673100</xdr:colOff>
      <xdr:row>37</xdr:row>
      <xdr:rowOff>185082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41400" y="1739900"/>
          <a:ext cx="10058400" cy="597628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14</xdr:row>
      <xdr:rowOff>50800</xdr:rowOff>
    </xdr:from>
    <xdr:to>
      <xdr:col>9</xdr:col>
      <xdr:colOff>660400</xdr:colOff>
      <xdr:row>43</xdr:row>
      <xdr:rowOff>134282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2895600"/>
          <a:ext cx="10058400" cy="5976282"/>
        </a:xfrm>
        <a:prstGeom prst="rect">
          <a:avLst/>
        </a:prstGeom>
      </xdr:spPr>
    </xdr:pic>
    <xdr:clientData/>
  </xdr:twoCellAnchor>
  <xdr:twoCellAnchor editAs="oneCell">
    <xdr:from>
      <xdr:col>12</xdr:col>
      <xdr:colOff>88900</xdr:colOff>
      <xdr:row>1</xdr:row>
      <xdr:rowOff>114300</xdr:rowOff>
    </xdr:from>
    <xdr:to>
      <xdr:col>24</xdr:col>
      <xdr:colOff>241300</xdr:colOff>
      <xdr:row>33</xdr:row>
      <xdr:rowOff>196522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07600" y="330200"/>
          <a:ext cx="10058400" cy="65846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locum/Dropbox%20(MIT)/Ventilator/Production%2010Xbeta%20designs%20from%20SA%20for%20bottom%20drive/MIT_E%20VENT%20System%20Design%20Spreadsheet%202020.04.01%20v15%20am%20direct%20driv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locum/Dropbox%20(MIT)/Ventilator/2020.03.20%20onward/MIT_E%20VENT%20System%20Design%20Spreadsheet%202020.03.29%20v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locum/Dropbox%20(MIT)/Ventilator/Hertz_contact_li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 Analysis"/>
      <sheetName val="Gears"/>
      <sheetName val="Motor Options"/>
      <sheetName val="Bearings"/>
      <sheetName val="Arm structure"/>
      <sheetName val="geartoothcontact stress"/>
      <sheetName val="Hex drive"/>
      <sheetName val="lung compliance notes"/>
      <sheetName val="refs"/>
      <sheetName val="Revisions"/>
      <sheetName val="Bag fixture by Vee"/>
      <sheetName val="Expected Tidal Volume"/>
    </sheetNames>
    <sheetDataSet>
      <sheetData sheetId="0">
        <row r="9">
          <cell r="C9">
            <v>30</v>
          </cell>
        </row>
        <row r="10">
          <cell r="C10">
            <v>25</v>
          </cell>
        </row>
        <row r="11">
          <cell r="C11">
            <v>2</v>
          </cell>
        </row>
        <row r="13">
          <cell r="C13">
            <v>1</v>
          </cell>
        </row>
        <row r="14">
          <cell r="C14">
            <v>4</v>
          </cell>
        </row>
        <row r="15">
          <cell r="C15">
            <v>5</v>
          </cell>
        </row>
        <row r="16">
          <cell r="C16">
            <v>0.4</v>
          </cell>
        </row>
        <row r="18">
          <cell r="C18">
            <v>0.1</v>
          </cell>
        </row>
        <row r="20">
          <cell r="C20">
            <v>10.416666666666666</v>
          </cell>
        </row>
        <row r="22">
          <cell r="C22">
            <v>40</v>
          </cell>
        </row>
        <row r="24">
          <cell r="C24">
            <v>0.9</v>
          </cell>
        </row>
        <row r="25">
          <cell r="C25">
            <v>44.444444444444443</v>
          </cell>
        </row>
        <row r="29">
          <cell r="C29">
            <v>57.777777777777779</v>
          </cell>
        </row>
        <row r="30">
          <cell r="C30">
            <v>125</v>
          </cell>
        </row>
        <row r="31">
          <cell r="C31">
            <v>125</v>
          </cell>
        </row>
        <row r="32">
          <cell r="C32">
            <v>15625</v>
          </cell>
        </row>
        <row r="33">
          <cell r="C33">
            <v>92.647526303824534</v>
          </cell>
        </row>
        <row r="37">
          <cell r="C37">
            <v>43200</v>
          </cell>
        </row>
        <row r="38">
          <cell r="C38">
            <v>180</v>
          </cell>
        </row>
        <row r="39">
          <cell r="C39">
            <v>7776000</v>
          </cell>
        </row>
        <row r="40">
          <cell r="C40">
            <v>7776000</v>
          </cell>
        </row>
        <row r="43">
          <cell r="C43">
            <v>156.25</v>
          </cell>
        </row>
        <row r="44">
          <cell r="C44">
            <v>28.95235196994517</v>
          </cell>
        </row>
        <row r="45">
          <cell r="C45">
            <v>0.8</v>
          </cell>
        </row>
        <row r="46">
          <cell r="C46">
            <v>1</v>
          </cell>
        </row>
        <row r="50">
          <cell r="C50">
            <v>127</v>
          </cell>
        </row>
        <row r="52">
          <cell r="C52">
            <v>38.099999999999994</v>
          </cell>
        </row>
        <row r="54">
          <cell r="C54">
            <v>76.199999999999989</v>
          </cell>
        </row>
        <row r="55">
          <cell r="C55">
            <v>38.099999999999994</v>
          </cell>
        </row>
        <row r="57">
          <cell r="C57">
            <v>9.5249999999999986</v>
          </cell>
        </row>
        <row r="59">
          <cell r="C59">
            <v>0.1</v>
          </cell>
        </row>
        <row r="60">
          <cell r="C60">
            <v>92.647526303824534</v>
          </cell>
        </row>
        <row r="61">
          <cell r="C61">
            <v>308.82508767941516</v>
          </cell>
        </row>
        <row r="62">
          <cell r="C62">
            <v>617.65017535883032</v>
          </cell>
        </row>
        <row r="64">
          <cell r="C64">
            <v>23532.471681171432</v>
          </cell>
        </row>
        <row r="67">
          <cell r="C67">
            <v>617.65017535883032</v>
          </cell>
        </row>
        <row r="68">
          <cell r="C68">
            <v>308.82508767941516</v>
          </cell>
        </row>
        <row r="69">
          <cell r="C69">
            <v>690.5538892085051</v>
          </cell>
        </row>
        <row r="73">
          <cell r="C73">
            <v>328.87628973555053</v>
          </cell>
        </row>
        <row r="76">
          <cell r="C76">
            <v>23532.471681171432</v>
          </cell>
        </row>
        <row r="80">
          <cell r="C80">
            <v>0.1</v>
          </cell>
        </row>
        <row r="83">
          <cell r="C83">
            <v>2</v>
          </cell>
        </row>
        <row r="84">
          <cell r="C84">
            <v>44.759969519939041</v>
          </cell>
        </row>
        <row r="85">
          <cell r="C85">
            <v>44759.969519939041</v>
          </cell>
        </row>
        <row r="86">
          <cell r="C86">
            <v>28</v>
          </cell>
        </row>
        <row r="87">
          <cell r="C87">
            <v>222.5</v>
          </cell>
        </row>
        <row r="89">
          <cell r="C89">
            <v>28108.195144961723</v>
          </cell>
        </row>
        <row r="93">
          <cell r="C93">
            <v>308.82508767941516</v>
          </cell>
        </row>
        <row r="99">
          <cell r="C99" t="e">
            <v>#REF!</v>
          </cell>
        </row>
        <row r="103">
          <cell r="C103">
            <v>109.89630019749835</v>
          </cell>
        </row>
      </sheetData>
      <sheetData sheetId="1">
        <row r="8">
          <cell r="B8">
            <v>208.19668832320122</v>
          </cell>
        </row>
        <row r="10">
          <cell r="C10">
            <v>0.2530727415391778</v>
          </cell>
        </row>
        <row r="11">
          <cell r="B11">
            <v>16</v>
          </cell>
        </row>
        <row r="12">
          <cell r="B12">
            <v>15</v>
          </cell>
        </row>
        <row r="13">
          <cell r="B13">
            <v>48</v>
          </cell>
        </row>
        <row r="14">
          <cell r="B14">
            <v>5.0000000000000001E-3</v>
          </cell>
        </row>
        <row r="15">
          <cell r="B15">
            <v>0.25</v>
          </cell>
        </row>
        <row r="19">
          <cell r="B19">
            <v>11500</v>
          </cell>
        </row>
        <row r="20">
          <cell r="B20">
            <v>1.5</v>
          </cell>
        </row>
        <row r="23">
          <cell r="B23">
            <v>0.9375</v>
          </cell>
        </row>
        <row r="24">
          <cell r="B24">
            <v>3</v>
          </cell>
        </row>
        <row r="26">
          <cell r="B26">
            <v>9.8174770424681035E-2</v>
          </cell>
        </row>
        <row r="28">
          <cell r="B28">
            <v>7.6999999999999999E-2</v>
          </cell>
        </row>
        <row r="30">
          <cell r="B30">
            <v>444.15293508949594</v>
          </cell>
        </row>
        <row r="32">
          <cell r="B32">
            <v>114.86575915742398</v>
          </cell>
        </row>
        <row r="35">
          <cell r="B35">
            <v>2.4543692606170259E-2</v>
          </cell>
        </row>
        <row r="36">
          <cell r="B36">
            <v>4.0159523116411777E-4</v>
          </cell>
        </row>
        <row r="37">
          <cell r="B37">
            <v>1.9713259811591985E-5</v>
          </cell>
        </row>
        <row r="38">
          <cell r="B38">
            <v>4.9087385212340517E-2</v>
          </cell>
        </row>
      </sheetData>
      <sheetData sheetId="2" refreshError="1"/>
      <sheetData sheetId="3">
        <row r="3">
          <cell r="C3">
            <v>345.27694460425255</v>
          </cell>
        </row>
        <row r="5">
          <cell r="C5">
            <v>9.5249999999999986</v>
          </cell>
        </row>
        <row r="6">
          <cell r="C6">
            <v>25</v>
          </cell>
        </row>
        <row r="8">
          <cell r="C8">
            <v>2316.1881575956136</v>
          </cell>
        </row>
        <row r="9">
          <cell r="C9">
            <v>50</v>
          </cell>
        </row>
        <row r="10">
          <cell r="C10">
            <v>46.323763151912274</v>
          </cell>
        </row>
        <row r="11">
          <cell r="C11">
            <v>391.60070775616481</v>
          </cell>
        </row>
        <row r="12">
          <cell r="C12">
            <v>4.3163186559052624</v>
          </cell>
        </row>
        <row r="18">
          <cell r="C18">
            <v>6</v>
          </cell>
        </row>
        <row r="19">
          <cell r="C19">
            <v>40.528226729582038</v>
          </cell>
        </row>
        <row r="20">
          <cell r="C20">
            <v>44.844545385487301</v>
          </cell>
        </row>
      </sheetData>
      <sheetData sheetId="4">
        <row r="2">
          <cell r="C2">
            <v>92.647526303824534</v>
          </cell>
        </row>
        <row r="3">
          <cell r="C3">
            <v>127</v>
          </cell>
        </row>
        <row r="6">
          <cell r="C6">
            <v>625</v>
          </cell>
        </row>
      </sheetData>
      <sheetData sheetId="5">
        <row r="7">
          <cell r="C7">
            <v>8.8899999999999988</v>
          </cell>
        </row>
        <row r="8">
          <cell r="C8">
            <v>8.8899999999999988</v>
          </cell>
        </row>
        <row r="9">
          <cell r="C9">
            <v>6.35</v>
          </cell>
        </row>
        <row r="10">
          <cell r="C10">
            <v>1000</v>
          </cell>
        </row>
        <row r="11">
          <cell r="C11">
            <v>200000</v>
          </cell>
          <cell r="E11">
            <v>2162.0242600742222</v>
          </cell>
        </row>
        <row r="12">
          <cell r="C12">
            <v>2000</v>
          </cell>
          <cell r="E12">
            <v>218364.45026749646</v>
          </cell>
        </row>
        <row r="13">
          <cell r="C13">
            <v>0.28999999999999998</v>
          </cell>
          <cell r="E13">
            <v>2183.6445026749643</v>
          </cell>
        </row>
        <row r="14">
          <cell r="C14">
            <v>0.28999999999999998</v>
          </cell>
        </row>
        <row r="15">
          <cell r="C15">
            <v>276</v>
          </cell>
        </row>
        <row r="16">
          <cell r="C16">
            <v>100</v>
          </cell>
        </row>
        <row r="17">
          <cell r="C17">
            <v>0.90800616187843985</v>
          </cell>
        </row>
        <row r="18">
          <cell r="C18">
            <v>220.82467382205496</v>
          </cell>
        </row>
        <row r="19">
          <cell r="C19">
            <v>2.3546848499316026E-3</v>
          </cell>
          <cell r="E19">
            <v>6.3887090609764607E-2</v>
          </cell>
        </row>
        <row r="20">
          <cell r="C20">
            <v>0.12975262436108662</v>
          </cell>
        </row>
        <row r="21">
          <cell r="E21">
            <v>0.63887090609764619</v>
          </cell>
        </row>
        <row r="25">
          <cell r="C25">
            <v>5.0000000000000001E-3</v>
          </cell>
        </row>
        <row r="30">
          <cell r="C30">
            <v>4.4449999999999994</v>
          </cell>
        </row>
        <row r="31">
          <cell r="C31">
            <v>4.4449999999999994</v>
          </cell>
        </row>
        <row r="32">
          <cell r="C32">
            <v>1000</v>
          </cell>
        </row>
        <row r="33">
          <cell r="C33">
            <v>1000</v>
          </cell>
        </row>
        <row r="34">
          <cell r="C34">
            <v>0</v>
          </cell>
        </row>
        <row r="36">
          <cell r="C36">
            <v>1.5707963267948966</v>
          </cell>
        </row>
        <row r="37">
          <cell r="C37">
            <v>1.0030145953603999</v>
          </cell>
        </row>
        <row r="38">
          <cell r="C38">
            <v>1.0014084128731353</v>
          </cell>
        </row>
        <row r="39">
          <cell r="C39">
            <v>0.74903730837702021</v>
          </cell>
        </row>
        <row r="40">
          <cell r="C40">
            <v>2.2126647053845652</v>
          </cell>
        </row>
        <row r="41">
          <cell r="C41">
            <v>1.1570602097463853</v>
          </cell>
        </row>
        <row r="42">
          <cell r="C42">
            <v>1.1552073455366303</v>
          </cell>
        </row>
        <row r="43">
          <cell r="C43">
            <v>357.21154418868616</v>
          </cell>
        </row>
      </sheetData>
      <sheetData sheetId="6">
        <row r="2">
          <cell r="C2">
            <v>0.59055118110236227</v>
          </cell>
        </row>
        <row r="4">
          <cell r="C4">
            <v>0.75</v>
          </cell>
        </row>
        <row r="6">
          <cell r="C6">
            <v>208.19668832320122</v>
          </cell>
        </row>
        <row r="7">
          <cell r="C7">
            <v>6.3968157709341944E-2</v>
          </cell>
        </row>
        <row r="8">
          <cell r="C8">
            <v>3</v>
          </cell>
        </row>
        <row r="9">
          <cell r="C9">
            <v>16590.992320965415</v>
          </cell>
        </row>
      </sheetData>
      <sheetData sheetId="7" refreshError="1"/>
      <sheetData sheetId="8" refreshError="1"/>
      <sheetData sheetId="9" refreshError="1"/>
      <sheetData sheetId="10">
        <row r="5">
          <cell r="B5">
            <v>40</v>
          </cell>
        </row>
      </sheetData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 Analysis"/>
      <sheetName val="Gears"/>
      <sheetName val="Motor Options"/>
      <sheetName val="Bearings"/>
      <sheetName val="geartoothcontact stress"/>
      <sheetName val="Hex drive"/>
      <sheetName val="lung compliance notes"/>
      <sheetName val="refs"/>
      <sheetName val="Revisions"/>
      <sheetName val="Bag fixture by Vee"/>
      <sheetName val="Expected Tidal Volume"/>
      <sheetName val="MIT_E VENT System Design Spread"/>
    </sheetNames>
    <definedNames>
      <definedName name="Fp" refersTo="='Gears'!$B$30"/>
    </definedNames>
    <sheetDataSet>
      <sheetData sheetId="0" refreshError="1"/>
      <sheetData sheetId="1">
        <row r="30">
          <cell r="B30">
            <v>114.50817857776066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contact.xls"/>
      <sheetName val="Data"/>
    </sheetNames>
    <sheetDataSet>
      <sheetData sheetId="0"/>
      <sheetData sheetId="1">
        <row r="4">
          <cell r="G4" t="str">
            <v>tyx/sultimate</v>
          </cell>
        </row>
        <row r="5">
          <cell r="C5">
            <v>0</v>
          </cell>
          <cell r="I5">
            <v>0</v>
          </cell>
        </row>
        <row r="6">
          <cell r="C6">
            <v>1.9843304275482442E-2</v>
          </cell>
          <cell r="I6">
            <v>-2.2437728619227326E-2</v>
          </cell>
        </row>
        <row r="7">
          <cell r="C7">
            <v>3.9686608550964883E-2</v>
          </cell>
          <cell r="I7">
            <v>-4.3968206177670277E-2</v>
          </cell>
        </row>
        <row r="8">
          <cell r="C8">
            <v>5.9529912826447325E-2</v>
          </cell>
          <cell r="I8">
            <v>-6.4594638020603279E-2</v>
          </cell>
        </row>
        <row r="9">
          <cell r="C9">
            <v>7.9373217101929766E-2</v>
          </cell>
          <cell r="I9">
            <v>-8.4322335015081573E-2</v>
          </cell>
        </row>
        <row r="10">
          <cell r="C10">
            <v>9.9216521377412215E-2</v>
          </cell>
          <cell r="I10">
            <v>-0.10315866708723359</v>
          </cell>
        </row>
        <row r="11">
          <cell r="C11">
            <v>0.11905982565289465</v>
          </cell>
          <cell r="I11">
            <v>-0.12111299935539721</v>
          </cell>
        </row>
        <row r="12">
          <cell r="C12">
            <v>0.13890312992837708</v>
          </cell>
          <cell r="I12">
            <v>-0.13819661199683481</v>
          </cell>
        </row>
        <row r="13">
          <cell r="C13">
            <v>0.15874643420385953</v>
          </cell>
          <cell r="I13">
            <v>-0.15442260525138063</v>
          </cell>
        </row>
        <row r="14">
          <cell r="C14">
            <v>0.17858973847934198</v>
          </cell>
          <cell r="I14">
            <v>-0.16980579119009254</v>
          </cell>
        </row>
        <row r="15">
          <cell r="C15">
            <v>0.19843304275482443</v>
          </cell>
          <cell r="I15">
            <v>-0.18436257405560452</v>
          </cell>
        </row>
        <row r="16">
          <cell r="C16">
            <v>0.21827634703030685</v>
          </cell>
          <cell r="I16">
            <v>-0.19811082111004202</v>
          </cell>
        </row>
        <row r="17">
          <cell r="C17">
            <v>0.2381196513057893</v>
          </cell>
          <cell r="I17">
            <v>-0.21106972600478258</v>
          </cell>
        </row>
        <row r="18">
          <cell r="C18">
            <v>0.25796295558127175</v>
          </cell>
          <cell r="I18">
            <v>-0.2232596667145556</v>
          </cell>
        </row>
        <row r="19">
          <cell r="C19">
            <v>0.27780625985675417</v>
          </cell>
          <cell r="I19">
            <v>-0.23470206005872796</v>
          </cell>
        </row>
        <row r="20">
          <cell r="C20">
            <v>0.29764956413223664</v>
          </cell>
          <cell r="I20">
            <v>-0.24541921476897011</v>
          </cell>
        </row>
        <row r="21">
          <cell r="C21">
            <v>0.31749286840771906</v>
          </cell>
          <cell r="I21">
            <v>-0.25543418495995779</v>
          </cell>
        </row>
        <row r="22">
          <cell r="C22">
            <v>0.33733617268320154</v>
          </cell>
          <cell r="I22">
            <v>-0.26477062572432974</v>
          </cell>
        </row>
        <row r="23">
          <cell r="C23">
            <v>0.35717947695868396</v>
          </cell>
          <cell r="I23">
            <v>-0.27345265241138472</v>
          </cell>
        </row>
        <row r="24">
          <cell r="C24">
            <v>0.37702278123416638</v>
          </cell>
          <cell r="I24">
            <v>-0.28150470496778984</v>
          </cell>
        </row>
        <row r="25">
          <cell r="C25">
            <v>0.39686608550964886</v>
          </cell>
          <cell r="I25">
            <v>-0.28895141852466133</v>
          </cell>
        </row>
        <row r="26">
          <cell r="C26">
            <v>0.41670938978513128</v>
          </cell>
          <cell r="I26">
            <v>-0.29581750121518757</v>
          </cell>
        </row>
        <row r="27">
          <cell r="C27">
            <v>0.4365526940606137</v>
          </cell>
          <cell r="I27">
            <v>-0.30212762000643567</v>
          </cell>
        </row>
        <row r="28">
          <cell r="C28">
            <v>0.45639599833609612</v>
          </cell>
          <cell r="I28">
            <v>-0.30790629513327672</v>
          </cell>
        </row>
        <row r="29">
          <cell r="C29">
            <v>0.4762393026115786</v>
          </cell>
          <cell r="I29">
            <v>-0.31317780353594626</v>
          </cell>
        </row>
        <row r="30">
          <cell r="C30">
            <v>0.49608260688706102</v>
          </cell>
          <cell r="I30">
            <v>-0.31796609152907707</v>
          </cell>
        </row>
        <row r="31">
          <cell r="C31">
            <v>0.51592591116254349</v>
          </cell>
          <cell r="I31">
            <v>-0.32229469677188649</v>
          </cell>
        </row>
        <row r="32">
          <cell r="C32">
            <v>0.53576921543802591</v>
          </cell>
          <cell r="I32">
            <v>-0.3261866794682996</v>
          </cell>
        </row>
        <row r="33">
          <cell r="C33">
            <v>0.55561251971350833</v>
          </cell>
          <cell r="I33">
            <v>-0.32966456260329952</v>
          </cell>
        </row>
        <row r="34">
          <cell r="C34">
            <v>0.57545582398899076</v>
          </cell>
          <cell r="I34">
            <v>-0.33275028091802489</v>
          </cell>
        </row>
        <row r="35">
          <cell r="C35">
            <v>0.59529912826447329</v>
          </cell>
          <cell r="I35">
            <v>-0.33546513824090629</v>
          </cell>
        </row>
        <row r="36">
          <cell r="C36">
            <v>0.61514243253995571</v>
          </cell>
          <cell r="I36">
            <v>-0.3378297727247293</v>
          </cell>
        </row>
        <row r="37">
          <cell r="C37">
            <v>0.63498573681543813</v>
          </cell>
          <cell r="I37">
            <v>-0.33986412948883798</v>
          </cell>
        </row>
        <row r="38">
          <cell r="C38">
            <v>0.65482904109092055</v>
          </cell>
          <cell r="I38">
            <v>-0.34158744013041198</v>
          </cell>
        </row>
        <row r="39">
          <cell r="C39">
            <v>0.67467234536640308</v>
          </cell>
          <cell r="I39">
            <v>-0.34301820854728687</v>
          </cell>
        </row>
        <row r="40">
          <cell r="C40">
            <v>0.6945156496418855</v>
          </cell>
          <cell r="I40">
            <v>-0.34417420250548564</v>
          </cell>
        </row>
        <row r="41">
          <cell r="C41">
            <v>0.71435895391736792</v>
          </cell>
          <cell r="I41">
            <v>-0.34507245038583384</v>
          </cell>
        </row>
        <row r="42">
          <cell r="C42">
            <v>0.73420225819285034</v>
          </cell>
          <cell r="I42">
            <v>-0.34572924255402143</v>
          </cell>
        </row>
        <row r="43">
          <cell r="C43">
            <v>0.75404556246833276</v>
          </cell>
          <cell r="I43">
            <v>-0.34616013681571217</v>
          </cell>
        </row>
        <row r="44">
          <cell r="C44">
            <v>0.7738888667438153</v>
          </cell>
          <cell r="I44">
            <v>-0.34637996744125166</v>
          </cell>
        </row>
        <row r="45">
          <cell r="C45">
            <v>0.79373217101929772</v>
          </cell>
          <cell r="I45">
            <v>-0.34640285727184128</v>
          </cell>
        </row>
        <row r="46">
          <cell r="C46">
            <v>0.81357547529478014</v>
          </cell>
          <cell r="I46">
            <v>-0.34624223244950481</v>
          </cell>
        </row>
        <row r="47">
          <cell r="C47">
            <v>0.83341877957026256</v>
          </cell>
          <cell r="I47">
            <v>-0.34591083934569161</v>
          </cell>
        </row>
        <row r="48">
          <cell r="C48">
            <v>0.85326208384574498</v>
          </cell>
          <cell r="I48">
            <v>-0.34542076329700067</v>
          </cell>
        </row>
        <row r="49">
          <cell r="C49">
            <v>0.8731053881212274</v>
          </cell>
          <cell r="I49">
            <v>-0.34478344879052392</v>
          </cell>
        </row>
        <row r="50">
          <cell r="C50">
            <v>0.89294869239670982</v>
          </cell>
          <cell r="I50">
            <v>-0.34400972077498881</v>
          </cell>
        </row>
        <row r="51">
          <cell r="C51">
            <v>0.91279199667219224</v>
          </cell>
          <cell r="I51">
            <v>-0.34310980680675479</v>
          </cell>
        </row>
        <row r="52">
          <cell r="C52">
            <v>0.93263530094767466</v>
          </cell>
          <cell r="I52">
            <v>-0.34209335977137167</v>
          </cell>
        </row>
        <row r="53">
          <cell r="C53">
            <v>0.95247860522315719</v>
          </cell>
          <cell r="I53">
            <v>-0.34096948095148749</v>
          </cell>
        </row>
        <row r="54">
          <cell r="C54">
            <v>0.97232190949863961</v>
          </cell>
          <cell r="I54">
            <v>-0.33974674324023901</v>
          </cell>
        </row>
        <row r="55">
          <cell r="C55">
            <v>0.99216521377412203</v>
          </cell>
          <cell r="I55">
            <v>-0.33843321432569018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6" Type="http://schemas.openxmlformats.org/officeDocument/2006/relationships/image" Target="../media/image4.w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3.w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cnc1.lv/en/stepper-motors/48-nema-23-stepper-motor-23hs9430-with-280-nm.html" TargetMode="External"/><Relationship Id="rId2" Type="http://schemas.openxmlformats.org/officeDocument/2006/relationships/hyperlink" Target="https://hardware-cnc.nl/en/shop/stappenmotoren/stepper-motor-34/stepper-motor-nema-34-4,5nm-detail" TargetMode="External"/><Relationship Id="rId1" Type="http://schemas.openxmlformats.org/officeDocument/2006/relationships/hyperlink" Target="https://szbobet.en.alibaba.com/product/60516551996-803622807/BM_Brand_High_precision_4_Axis_8_5Nm_1204oz_in_Nema_34_Stepper_Motor_with_braker_Driver_Kit_For_CNC_Router.html" TargetMode="External"/><Relationship Id="rId4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gus-cad.com/?cul=en-US&amp;ArtNr=J350FI-0607-04&amp;mandant=USA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ciencedirect.com/topics/medicine-and-dentistry/airway-pressure" TargetMode="External"/><Relationship Id="rId2" Type="http://schemas.openxmlformats.org/officeDocument/2006/relationships/hyperlink" Target="https://www.sciencedirect.com/topics/medicine-and-dentistry/mean-airway-pressure" TargetMode="External"/><Relationship Id="rId1" Type="http://schemas.openxmlformats.org/officeDocument/2006/relationships/hyperlink" Target="https://en.wikipedia.org/wiki/Mechanical_ventila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86"/>
  <sheetViews>
    <sheetView zoomScale="125" zoomScaleNormal="100" workbookViewId="0">
      <selection sqref="A1:A4"/>
    </sheetView>
  </sheetViews>
  <sheetFormatPr baseColWidth="10" defaultColWidth="10.83203125" defaultRowHeight="16"/>
  <cols>
    <col min="1" max="1" width="85.33203125" style="2" customWidth="1"/>
    <col min="2" max="2" width="24.33203125" style="2" customWidth="1"/>
    <col min="3" max="3" width="15.1640625" style="5" customWidth="1"/>
    <col min="4" max="4" width="20.5" style="2" customWidth="1"/>
    <col min="5" max="5" width="79.83203125" style="2" customWidth="1"/>
    <col min="6" max="6" width="18.83203125" style="2" customWidth="1"/>
    <col min="7" max="9" width="10.83203125" style="2"/>
    <col min="10" max="10" width="12.1640625" style="2" bestFit="1" customWidth="1"/>
    <col min="11" max="16384" width="10.83203125" style="2"/>
  </cols>
  <sheetData>
    <row r="1" spans="1:6">
      <c r="A1" s="5" t="s">
        <v>418</v>
      </c>
      <c r="B1" s="5"/>
      <c r="D1" s="5"/>
      <c r="E1" s="5"/>
      <c r="F1" s="5"/>
    </row>
    <row r="2" spans="1:6">
      <c r="A2" s="28" t="s">
        <v>59</v>
      </c>
    </row>
    <row r="3" spans="1:6">
      <c r="A3" s="28" t="s">
        <v>239</v>
      </c>
      <c r="B3" s="28"/>
      <c r="C3" s="41"/>
      <c r="D3" s="28"/>
    </row>
    <row r="4" spans="1:6">
      <c r="A4" s="28" t="s">
        <v>60</v>
      </c>
      <c r="B4" s="244" t="s">
        <v>422</v>
      </c>
      <c r="C4" s="245"/>
      <c r="D4" s="245"/>
      <c r="E4" s="246"/>
      <c r="F4" s="28"/>
    </row>
    <row r="5" spans="1:6" ht="17" thickBot="1">
      <c r="A5" s="126"/>
      <c r="B5" s="126"/>
      <c r="C5" s="127"/>
      <c r="D5" s="126"/>
      <c r="E5" s="126"/>
      <c r="F5" s="28"/>
    </row>
    <row r="6" spans="1:6">
      <c r="A6" s="61" t="s">
        <v>57</v>
      </c>
      <c r="B6" s="62"/>
      <c r="C6" s="61"/>
      <c r="D6" s="62"/>
      <c r="E6" s="62" t="s">
        <v>157</v>
      </c>
    </row>
    <row r="7" spans="1:6">
      <c r="A7" s="4" t="s">
        <v>49</v>
      </c>
      <c r="C7" s="2"/>
    </row>
    <row r="8" spans="1:6">
      <c r="A8" s="7" t="s">
        <v>245</v>
      </c>
      <c r="B8" s="2" t="s">
        <v>50</v>
      </c>
      <c r="C8" s="5">
        <v>40</v>
      </c>
      <c r="D8" s="2" t="s">
        <v>51</v>
      </c>
    </row>
    <row r="9" spans="1:6">
      <c r="A9" s="168" t="s">
        <v>420</v>
      </c>
      <c r="B9" s="30" t="s">
        <v>246</v>
      </c>
      <c r="C9" s="167">
        <v>30</v>
      </c>
      <c r="D9" s="30" t="s">
        <v>51</v>
      </c>
    </row>
    <row r="10" spans="1:6">
      <c r="A10" s="4" t="s">
        <v>222</v>
      </c>
      <c r="B10" s="2" t="s">
        <v>54</v>
      </c>
      <c r="C10" s="42">
        <f>180*ASIN(Dbag/2/R_1)/PI()</f>
        <v>26.57617632515748</v>
      </c>
      <c r="D10" s="2" t="s">
        <v>53</v>
      </c>
    </row>
    <row r="11" spans="1:6">
      <c r="A11" s="29" t="s">
        <v>142</v>
      </c>
      <c r="B11" s="30" t="s">
        <v>143</v>
      </c>
      <c r="C11" s="46">
        <f>60/resprateavg</f>
        <v>2</v>
      </c>
      <c r="D11" s="30"/>
    </row>
    <row r="12" spans="1:6">
      <c r="A12" s="4" t="s">
        <v>200</v>
      </c>
      <c r="B12" s="2" t="s">
        <v>201</v>
      </c>
      <c r="C12" s="51" t="s">
        <v>202</v>
      </c>
    </row>
    <row r="13" spans="1:6">
      <c r="A13" s="4" t="s">
        <v>203</v>
      </c>
      <c r="B13" s="2" t="s">
        <v>204</v>
      </c>
      <c r="C13" s="22">
        <v>1</v>
      </c>
      <c r="D13" s="2" t="s">
        <v>205</v>
      </c>
    </row>
    <row r="14" spans="1:6">
      <c r="A14" s="4" t="s">
        <v>206</v>
      </c>
      <c r="B14" s="2" t="s">
        <v>207</v>
      </c>
      <c r="C14" s="22">
        <v>4</v>
      </c>
      <c r="D14" s="2" t="s">
        <v>205</v>
      </c>
    </row>
    <row r="15" spans="1:6">
      <c r="A15" s="4" t="s">
        <v>208</v>
      </c>
      <c r="B15" s="2" t="s">
        <v>217</v>
      </c>
      <c r="C15" s="22">
        <f>expr+insp</f>
        <v>5</v>
      </c>
      <c r="D15" s="2" t="s">
        <v>209</v>
      </c>
    </row>
    <row r="16" spans="1:6">
      <c r="A16" s="29" t="s">
        <v>210</v>
      </c>
      <c r="B16" s="30" t="s">
        <v>211</v>
      </c>
      <c r="C16" s="46">
        <f>(insp/tpb)*spb</f>
        <v>0.4</v>
      </c>
      <c r="D16" s="30" t="s">
        <v>212</v>
      </c>
    </row>
    <row r="17" spans="1:5">
      <c r="A17" s="4" t="s">
        <v>213</v>
      </c>
      <c r="B17" s="2" t="s">
        <v>214</v>
      </c>
      <c r="C17" s="48">
        <f>(expr/tpb)*spb</f>
        <v>1.6</v>
      </c>
      <c r="D17" s="2" t="s">
        <v>212</v>
      </c>
    </row>
    <row r="18" spans="1:5">
      <c r="A18" s="4" t="s">
        <v>215</v>
      </c>
      <c r="B18" s="2" t="s">
        <v>144</v>
      </c>
      <c r="C18" s="22">
        <v>0.1</v>
      </c>
      <c r="D18" s="2" t="s">
        <v>216</v>
      </c>
    </row>
    <row r="19" spans="1:5">
      <c r="A19" s="4" t="s">
        <v>145</v>
      </c>
      <c r="B19" s="2" t="s">
        <v>146</v>
      </c>
      <c r="C19" s="48">
        <f>pcr*tinsp</f>
        <v>4.0000000000000008E-2</v>
      </c>
      <c r="D19" s="2" t="s">
        <v>212</v>
      </c>
    </row>
    <row r="20" spans="1:5">
      <c r="A20" s="4" t="s">
        <v>219</v>
      </c>
      <c r="B20" s="2" t="s">
        <v>55</v>
      </c>
      <c r="C20" s="48">
        <f>Arcfing*60/(360*tinsp)</f>
        <v>11.07340680214895</v>
      </c>
      <c r="D20" s="2" t="s">
        <v>47</v>
      </c>
    </row>
    <row r="21" spans="1:5">
      <c r="A21" s="4" t="s">
        <v>320</v>
      </c>
      <c r="B21" s="2" t="s">
        <v>52</v>
      </c>
      <c r="C21" s="48">
        <f>trpf</f>
        <v>1.5999999999999999</v>
      </c>
    </row>
    <row r="22" spans="1:5">
      <c r="A22" s="4" t="s">
        <v>218</v>
      </c>
      <c r="B22" s="2" t="s">
        <v>56</v>
      </c>
      <c r="C22" s="48">
        <f>trpf*Rpmfing</f>
        <v>17.717450883438318</v>
      </c>
      <c r="D22" s="2" t="s">
        <v>47</v>
      </c>
      <c r="E22" s="2" t="s">
        <v>275</v>
      </c>
    </row>
    <row r="23" spans="1:5">
      <c r="A23" s="26" t="s">
        <v>240</v>
      </c>
    </row>
    <row r="24" spans="1:5">
      <c r="A24" s="29" t="s">
        <v>11</v>
      </c>
      <c r="B24" s="30" t="s">
        <v>12</v>
      </c>
      <c r="C24" s="86">
        <f>C25/1.3</f>
        <v>30.769230769230766</v>
      </c>
      <c r="D24" s="30" t="s">
        <v>116</v>
      </c>
    </row>
    <row r="25" spans="1:5">
      <c r="A25" s="29"/>
      <c r="B25" s="30"/>
      <c r="C25" s="167">
        <v>40</v>
      </c>
      <c r="D25" s="30" t="s">
        <v>102</v>
      </c>
    </row>
    <row r="26" spans="1:5">
      <c r="A26" s="4" t="s">
        <v>13</v>
      </c>
      <c r="B26" s="2" t="s">
        <v>14</v>
      </c>
      <c r="C26" s="5">
        <v>0.9</v>
      </c>
    </row>
    <row r="27" spans="1:5">
      <c r="A27" s="4" t="s">
        <v>15</v>
      </c>
      <c r="B27" s="2" t="s">
        <v>16</v>
      </c>
      <c r="C27" s="42">
        <f>pap/papeta</f>
        <v>34.188034188034187</v>
      </c>
      <c r="D27" s="2" t="s">
        <v>116</v>
      </c>
    </row>
    <row r="28" spans="1:5">
      <c r="A28" s="4"/>
      <c r="C28" s="49">
        <f>pbagmm/760</f>
        <v>4.4984255510571301E-2</v>
      </c>
      <c r="D28" s="2" t="s">
        <v>5</v>
      </c>
    </row>
    <row r="29" spans="1:5">
      <c r="A29" s="4"/>
      <c r="C29" s="49">
        <f>14.7*C28</f>
        <v>0.66126855600539813</v>
      </c>
      <c r="D29" s="2" t="s">
        <v>6</v>
      </c>
    </row>
    <row r="30" spans="1:5">
      <c r="A30" s="165"/>
      <c r="B30" s="54"/>
      <c r="C30" s="176">
        <f>C29*4.45/25.4^2</f>
        <v>4.5611089872652083E-3</v>
      </c>
      <c r="D30" s="54" t="s">
        <v>7</v>
      </c>
    </row>
    <row r="31" spans="1:5">
      <c r="A31" s="4"/>
      <c r="B31" s="2" t="s">
        <v>102</v>
      </c>
      <c r="C31" s="42">
        <f>pbagmm*1.3</f>
        <v>44.444444444444443</v>
      </c>
      <c r="D31" s="2" t="s">
        <v>102</v>
      </c>
    </row>
    <row r="32" spans="1:5">
      <c r="A32" s="4" t="s">
        <v>17</v>
      </c>
      <c r="B32" s="2" t="s">
        <v>18</v>
      </c>
      <c r="C32" s="5">
        <v>125</v>
      </c>
      <c r="D32" s="2" t="s">
        <v>36</v>
      </c>
    </row>
    <row r="33" spans="1:10">
      <c r="A33" s="4"/>
      <c r="B33" s="2" t="s">
        <v>19</v>
      </c>
      <c r="C33" s="5">
        <v>125</v>
      </c>
      <c r="D33" s="2" t="s">
        <v>36</v>
      </c>
    </row>
    <row r="34" spans="1:10">
      <c r="A34" s="4"/>
      <c r="B34" s="2" t="s">
        <v>20</v>
      </c>
      <c r="C34" s="22">
        <f>Lbag*Dbag</f>
        <v>15625</v>
      </c>
      <c r="D34" s="2" t="s">
        <v>42</v>
      </c>
    </row>
    <row r="35" spans="1:10">
      <c r="A35" s="4" t="s">
        <v>21</v>
      </c>
      <c r="B35" s="2" t="s">
        <v>24</v>
      </c>
      <c r="C35" s="42">
        <f>Areabag*C30</f>
        <v>71.267327926018879</v>
      </c>
      <c r="D35" s="2" t="s">
        <v>23</v>
      </c>
    </row>
    <row r="36" spans="1:10" ht="17" thickBot="1">
      <c r="A36" s="124"/>
      <c r="B36" s="124"/>
      <c r="C36" s="125">
        <f>C35/4.45</f>
        <v>16.015129871015478</v>
      </c>
      <c r="D36" s="124" t="s">
        <v>22</v>
      </c>
      <c r="E36" s="237" t="s">
        <v>121</v>
      </c>
      <c r="F36" s="237"/>
      <c r="G36" s="237"/>
      <c r="H36" s="237"/>
      <c r="I36" s="237"/>
      <c r="J36" s="237"/>
    </row>
    <row r="37" spans="1:10">
      <c r="A37" s="61" t="s">
        <v>242</v>
      </c>
      <c r="B37" s="62"/>
      <c r="C37" s="62"/>
      <c r="D37" s="62"/>
      <c r="E37" s="123"/>
      <c r="F37" s="123"/>
      <c r="G37" s="123"/>
      <c r="H37" s="123"/>
      <c r="I37" s="123"/>
      <c r="J37" s="123"/>
    </row>
    <row r="38" spans="1:10">
      <c r="A38" s="6" t="s">
        <v>244</v>
      </c>
      <c r="C38" s="2"/>
      <c r="E38" s="53"/>
      <c r="F38" s="72"/>
      <c r="G38" s="53"/>
      <c r="H38" s="53"/>
      <c r="I38" s="53"/>
      <c r="J38" s="53"/>
    </row>
    <row r="39" spans="1:10">
      <c r="A39" s="75" t="s">
        <v>252</v>
      </c>
      <c r="B39" s="2" t="s">
        <v>247</v>
      </c>
      <c r="C39" s="85">
        <f>24*60*resprateavg</f>
        <v>43200</v>
      </c>
      <c r="E39" s="53"/>
      <c r="F39" s="72"/>
      <c r="G39" s="53"/>
      <c r="H39" s="53"/>
      <c r="I39" s="53"/>
      <c r="J39" s="53"/>
    </row>
    <row r="40" spans="1:10">
      <c r="A40" s="7" t="s">
        <v>248</v>
      </c>
      <c r="B40" s="2" t="s">
        <v>249</v>
      </c>
      <c r="C40" s="5">
        <v>180</v>
      </c>
      <c r="E40" s="53"/>
      <c r="F40" s="72"/>
      <c r="G40" s="53"/>
      <c r="H40" s="53"/>
      <c r="I40" s="53"/>
      <c r="J40" s="53"/>
    </row>
    <row r="41" spans="1:10">
      <c r="A41" s="75" t="s">
        <v>250</v>
      </c>
      <c r="B41" s="2" t="s">
        <v>251</v>
      </c>
      <c r="C41" s="47">
        <f>Dolm*bpdavg</f>
        <v>7776000</v>
      </c>
      <c r="D41" s="2" t="s">
        <v>409</v>
      </c>
      <c r="E41" s="53"/>
      <c r="F41" s="72"/>
      <c r="G41" s="53"/>
      <c r="H41" s="53"/>
      <c r="I41" s="53"/>
      <c r="J41" s="53"/>
    </row>
    <row r="42" spans="1:10">
      <c r="A42" s="75" t="s">
        <v>407</v>
      </c>
      <c r="B42" s="2" t="s">
        <v>410</v>
      </c>
      <c r="C42" s="47">
        <f>tmcd*trpf</f>
        <v>12441599.999999998</v>
      </c>
      <c r="D42" s="2" t="s">
        <v>409</v>
      </c>
      <c r="E42" s="72"/>
      <c r="F42" s="72"/>
      <c r="G42" s="72"/>
      <c r="H42" s="72"/>
      <c r="I42" s="72"/>
      <c r="J42" s="72"/>
    </row>
    <row r="43" spans="1:10">
      <c r="A43" s="75" t="s">
        <v>408</v>
      </c>
      <c r="B43" s="2" t="s">
        <v>411</v>
      </c>
      <c r="C43" s="47">
        <f>Arcfing*trpf</f>
        <v>42.521882120251966</v>
      </c>
      <c r="D43" s="2" t="s">
        <v>53</v>
      </c>
      <c r="E43" s="72"/>
      <c r="F43" s="72"/>
      <c r="G43" s="72"/>
      <c r="H43" s="72"/>
      <c r="I43" s="72"/>
      <c r="J43" s="72"/>
    </row>
    <row r="44" spans="1:10">
      <c r="A44" s="6" t="s">
        <v>253</v>
      </c>
      <c r="C44" s="2"/>
      <c r="E44" s="53"/>
      <c r="F44" s="72"/>
      <c r="G44" s="53"/>
      <c r="H44" s="53"/>
      <c r="I44" s="53"/>
      <c r="J44" s="53"/>
    </row>
    <row r="45" spans="1:10">
      <c r="A45" s="7" t="s">
        <v>241</v>
      </c>
      <c r="B45" s="2" t="s">
        <v>233</v>
      </c>
      <c r="C45" s="42">
        <f>Dbag/2/tinsp</f>
        <v>156.25</v>
      </c>
      <c r="D45" s="2" t="s">
        <v>234</v>
      </c>
      <c r="E45" s="87" t="s">
        <v>277</v>
      </c>
      <c r="F45" s="87"/>
      <c r="G45" s="53"/>
      <c r="H45" s="53"/>
      <c r="I45" s="53"/>
      <c r="J45" s="53"/>
    </row>
    <row r="46" spans="1:10">
      <c r="A46" s="7" t="s">
        <v>230</v>
      </c>
      <c r="B46" s="2" t="s">
        <v>231</v>
      </c>
      <c r="C46" s="42">
        <f>2*Fbag*Vrbagsides/1000</f>
        <v>22.2710399768809</v>
      </c>
      <c r="D46" s="2" t="s">
        <v>232</v>
      </c>
      <c r="E46" s="87" t="s">
        <v>276</v>
      </c>
      <c r="F46" s="87"/>
      <c r="G46" s="32"/>
      <c r="H46" s="32"/>
      <c r="I46" s="32"/>
      <c r="J46" s="32"/>
    </row>
    <row r="47" spans="1:10">
      <c r="A47" s="7" t="s">
        <v>235</v>
      </c>
      <c r="B47" s="2" t="s">
        <v>236</v>
      </c>
      <c r="C47" s="5">
        <v>0.8</v>
      </c>
    </row>
    <row r="48" spans="1:10">
      <c r="A48" s="7" t="s">
        <v>243</v>
      </c>
      <c r="B48" s="2" t="s">
        <v>237</v>
      </c>
      <c r="C48" s="5">
        <v>1</v>
      </c>
    </row>
    <row r="49" spans="1:7" ht="17" thickBot="1">
      <c r="A49" s="130" t="s">
        <v>309</v>
      </c>
      <c r="B49" s="131" t="s">
        <v>238</v>
      </c>
      <c r="C49" s="132">
        <f>Pbaginhale/etamech*ovszf</f>
        <v>27.838799971101125</v>
      </c>
      <c r="D49" s="131" t="s">
        <v>232</v>
      </c>
      <c r="E49" s="124"/>
    </row>
    <row r="50" spans="1:7">
      <c r="A50" s="128"/>
      <c r="B50" s="128"/>
      <c r="C50" s="129"/>
      <c r="D50" s="128"/>
      <c r="E50" s="128"/>
      <c r="F50" s="28"/>
    </row>
    <row r="51" spans="1:7" ht="23" customHeight="1">
      <c r="A51" s="76" t="s">
        <v>274</v>
      </c>
      <c r="B51" s="28"/>
      <c r="C51" s="41"/>
      <c r="D51" s="28"/>
      <c r="E51" s="28"/>
      <c r="F51" s="28"/>
      <c r="G51" s="2">
        <v>2</v>
      </c>
    </row>
    <row r="52" spans="1:7" s="133" customFormat="1" ht="33" customHeight="1">
      <c r="A52" s="241" t="s">
        <v>281</v>
      </c>
      <c r="B52" s="242"/>
      <c r="C52" s="243"/>
    </row>
    <row r="53" spans="1:7" s="133" customFormat="1">
      <c r="A53" s="74" t="s">
        <v>280</v>
      </c>
      <c r="B53" s="133" t="s">
        <v>282</v>
      </c>
      <c r="C53" s="167">
        <v>180</v>
      </c>
      <c r="E53" s="169" t="s">
        <v>425</v>
      </c>
    </row>
    <row r="54" spans="1:7">
      <c r="A54" s="4" t="s">
        <v>1</v>
      </c>
      <c r="B54" s="2" t="s">
        <v>0</v>
      </c>
      <c r="C54" s="22">
        <f>C55*25.4</f>
        <v>139.69999999999999</v>
      </c>
      <c r="D54" s="2" t="s">
        <v>36</v>
      </c>
      <c r="G54" s="2" t="e">
        <f>0.5*(G51-#REF!)/SIN(#REF!*PI()/180)</f>
        <v>#REF!</v>
      </c>
    </row>
    <row r="55" spans="1:7">
      <c r="A55" s="4"/>
      <c r="C55" s="5">
        <v>5.5</v>
      </c>
      <c r="D55" s="2" t="s">
        <v>58</v>
      </c>
    </row>
    <row r="56" spans="1:7">
      <c r="A56" s="4" t="s">
        <v>417</v>
      </c>
      <c r="B56" s="2" t="s">
        <v>2</v>
      </c>
      <c r="C56" s="5">
        <f>1.5*25.4</f>
        <v>38.099999999999994</v>
      </c>
      <c r="D56" s="2" t="s">
        <v>36</v>
      </c>
    </row>
    <row r="57" spans="1:7">
      <c r="A57" s="4"/>
      <c r="C57" s="22">
        <f>R_2/25.4</f>
        <v>1.4999999999999998</v>
      </c>
      <c r="D57" s="2" t="s">
        <v>58</v>
      </c>
    </row>
    <row r="58" spans="1:7">
      <c r="A58" s="4" t="s">
        <v>29</v>
      </c>
      <c r="B58" s="2" t="s">
        <v>28</v>
      </c>
      <c r="C58" s="22">
        <f>C59</f>
        <v>76.199999999999989</v>
      </c>
      <c r="D58" s="2" t="s">
        <v>36</v>
      </c>
      <c r="E58" s="30" t="s">
        <v>426</v>
      </c>
    </row>
    <row r="59" spans="1:7">
      <c r="A59" s="179" t="s">
        <v>432</v>
      </c>
      <c r="C59" s="5">
        <f>Gears!C24*25.4</f>
        <v>76.199999999999989</v>
      </c>
      <c r="E59" s="30"/>
    </row>
    <row r="60" spans="1:7">
      <c r="A60" s="7" t="s">
        <v>285</v>
      </c>
      <c r="B60" s="2" t="s">
        <v>286</v>
      </c>
      <c r="C60" s="22">
        <f>Dgear/2</f>
        <v>38.099999999999994</v>
      </c>
      <c r="D60" s="2" t="s">
        <v>36</v>
      </c>
      <c r="E60" s="2" t="s">
        <v>416</v>
      </c>
    </row>
    <row r="61" spans="1:7">
      <c r="A61" s="7"/>
      <c r="C61" s="22">
        <f>Rgear/25.4</f>
        <v>1.4999999999999998</v>
      </c>
      <c r="D61" s="2" t="s">
        <v>58</v>
      </c>
    </row>
    <row r="62" spans="1:7">
      <c r="A62" s="4" t="s">
        <v>283</v>
      </c>
      <c r="B62" s="2" t="s">
        <v>3</v>
      </c>
      <c r="C62" s="22">
        <f>C63*25.4</f>
        <v>9.5249999999999986</v>
      </c>
      <c r="D62" s="2" t="s">
        <v>36</v>
      </c>
    </row>
    <row r="63" spans="1:7">
      <c r="A63" s="4"/>
      <c r="C63" s="5">
        <v>0.375</v>
      </c>
      <c r="D63" s="2" t="s">
        <v>58</v>
      </c>
    </row>
    <row r="64" spans="1:7">
      <c r="A64" s="4" t="s">
        <v>284</v>
      </c>
      <c r="B64" s="2" t="s">
        <v>4</v>
      </c>
      <c r="C64" s="5">
        <v>0.1</v>
      </c>
    </row>
    <row r="65" spans="1:6">
      <c r="A65" s="4" t="s">
        <v>315</v>
      </c>
      <c r="B65" s="2" t="s">
        <v>25</v>
      </c>
      <c r="C65" s="42">
        <f>Fbag</f>
        <v>71.267327926018879</v>
      </c>
      <c r="D65" s="2" t="s">
        <v>23</v>
      </c>
    </row>
    <row r="66" spans="1:6">
      <c r="A66" s="4" t="s">
        <v>316</v>
      </c>
      <c r="B66" s="2" t="s">
        <v>167</v>
      </c>
      <c r="C66" s="42">
        <f>Ffinger*R_1/R_2</f>
        <v>261.31353572873593</v>
      </c>
      <c r="D66" s="2" t="s">
        <v>23</v>
      </c>
    </row>
    <row r="67" spans="1:6">
      <c r="A67" s="4" t="s">
        <v>318</v>
      </c>
      <c r="B67" s="2" t="s">
        <v>27</v>
      </c>
      <c r="C67" s="43">
        <f>2*Ffinger*R_1/Rgear</f>
        <v>522.62707145747186</v>
      </c>
      <c r="D67" s="2" t="s">
        <v>23</v>
      </c>
      <c r="E67" s="2" t="s">
        <v>156</v>
      </c>
    </row>
    <row r="68" spans="1:6">
      <c r="A68" s="4"/>
      <c r="C68" s="43">
        <f>Fgear/4.45</f>
        <v>117.44428572078019</v>
      </c>
      <c r="D68" s="2" t="s">
        <v>186</v>
      </c>
    </row>
    <row r="69" spans="1:6">
      <c r="A69" s="4" t="s">
        <v>317</v>
      </c>
      <c r="B69" s="2" t="s">
        <v>30</v>
      </c>
      <c r="C69" s="47">
        <f>Fgear*Rgear</f>
        <v>19912.091422529676</v>
      </c>
      <c r="D69" s="2" t="s">
        <v>31</v>
      </c>
    </row>
    <row r="70" spans="1:6">
      <c r="A70" s="4"/>
      <c r="C70" s="43">
        <f>tgear/4.45/25.4</f>
        <v>176.16642858117027</v>
      </c>
      <c r="D70" s="2" t="s">
        <v>41</v>
      </c>
    </row>
    <row r="71" spans="1:6">
      <c r="A71" s="6" t="s">
        <v>319</v>
      </c>
      <c r="C71" s="43"/>
    </row>
    <row r="72" spans="1:6">
      <c r="A72" s="7" t="s">
        <v>291</v>
      </c>
      <c r="B72" s="2" t="s">
        <v>289</v>
      </c>
      <c r="C72" s="43">
        <f>-Ffinger+Fgear*COS(Thetapingear*PI()/180)</f>
        <v>-593.89439938349074</v>
      </c>
    </row>
    <row r="73" spans="1:6">
      <c r="A73" s="7" t="s">
        <v>288</v>
      </c>
      <c r="B73" s="2" t="s">
        <v>290</v>
      </c>
      <c r="C73" s="43">
        <f>Fgear*SIN(Thetapingear*PI()/180)+Fgtg</f>
        <v>261.31353572873599</v>
      </c>
    </row>
    <row r="74" spans="1:6">
      <c r="A74" s="7" t="s">
        <v>126</v>
      </c>
      <c r="B74" s="2" t="s">
        <v>26</v>
      </c>
      <c r="C74" s="43">
        <f>SQRT(Fbx^2+Fby^2)</f>
        <v>648.84152269574315</v>
      </c>
      <c r="D74" s="2" t="s">
        <v>23</v>
      </c>
    </row>
    <row r="75" spans="1:6">
      <c r="A75" s="7" t="s">
        <v>127</v>
      </c>
      <c r="B75" s="2" t="s">
        <v>292</v>
      </c>
      <c r="C75" s="43">
        <f>Fbear/2</f>
        <v>324.42076134787158</v>
      </c>
      <c r="D75" s="2" t="s">
        <v>23</v>
      </c>
    </row>
    <row r="76" spans="1:6">
      <c r="A76" s="4"/>
      <c r="C76" s="43">
        <f>C75/4.45</f>
        <v>72.903541875926194</v>
      </c>
      <c r="D76" s="2" t="s">
        <v>128</v>
      </c>
    </row>
    <row r="77" spans="1:6">
      <c r="A77" s="4" t="s">
        <v>34</v>
      </c>
      <c r="B77" s="2" t="s">
        <v>35</v>
      </c>
      <c r="C77" s="43">
        <f>Fbear*mu*Dbear/2</f>
        <v>309.01077518384761</v>
      </c>
      <c r="D77" s="2" t="s">
        <v>31</v>
      </c>
    </row>
    <row r="78" spans="1:6">
      <c r="A78" s="4" t="s">
        <v>32</v>
      </c>
      <c r="B78" s="2" t="s">
        <v>33</v>
      </c>
      <c r="C78" s="44">
        <f>Tlsbf/C69</f>
        <v>1.5518750322440523E-2</v>
      </c>
      <c r="F78" s="2">
        <f>J92</f>
        <v>0</v>
      </c>
    </row>
    <row r="79" spans="1:6">
      <c r="A79" s="167" t="s">
        <v>37</v>
      </c>
      <c r="B79" s="30"/>
      <c r="C79" s="167"/>
      <c r="D79" s="30"/>
    </row>
    <row r="80" spans="1:6">
      <c r="A80" s="29" t="s">
        <v>150</v>
      </c>
      <c r="B80" s="30" t="s">
        <v>38</v>
      </c>
      <c r="C80" s="45">
        <f>25.4*C81</f>
        <v>47.625</v>
      </c>
      <c r="D80" s="30" t="s">
        <v>36</v>
      </c>
    </row>
    <row r="81" spans="1:13">
      <c r="A81" s="179" t="s">
        <v>431</v>
      </c>
      <c r="B81" s="30"/>
      <c r="C81" s="45">
        <f>Dp</f>
        <v>1.875</v>
      </c>
      <c r="D81" s="30" t="s">
        <v>58</v>
      </c>
      <c r="E81" s="2" t="s">
        <v>427</v>
      </c>
    </row>
    <row r="82" spans="1:13">
      <c r="A82" s="165" t="s">
        <v>141</v>
      </c>
      <c r="B82" s="54" t="s">
        <v>52</v>
      </c>
      <c r="C82" s="228">
        <f>Dgear/Dpinion</f>
        <v>1.5999999999999999</v>
      </c>
      <c r="D82" s="54"/>
    </row>
    <row r="83" spans="1:13">
      <c r="A83" s="165" t="s">
        <v>39</v>
      </c>
      <c r="B83" s="54" t="s">
        <v>40</v>
      </c>
      <c r="C83" s="229">
        <f>ABS(Fgear)*Dpinion/2</f>
        <v>12445.057139081049</v>
      </c>
      <c r="D83" s="54" t="s">
        <v>31</v>
      </c>
    </row>
    <row r="84" spans="1:13">
      <c r="A84" s="54"/>
      <c r="B84" s="54"/>
      <c r="C84" s="55">
        <f>tgm/4.45/25.4</f>
        <v>110.10401786323143</v>
      </c>
      <c r="D84" s="54" t="s">
        <v>41</v>
      </c>
    </row>
    <row r="85" spans="1:13">
      <c r="A85" s="165" t="s">
        <v>294</v>
      </c>
      <c r="B85" s="54" t="s">
        <v>295</v>
      </c>
      <c r="C85" s="55">
        <f>trpf*Rpmfing</f>
        <v>17.717450883438318</v>
      </c>
      <c r="D85" s="54" t="s">
        <v>47</v>
      </c>
      <c r="F85" s="111"/>
      <c r="G85" s="112"/>
      <c r="H85" s="111"/>
      <c r="I85" s="111"/>
      <c r="J85" s="111"/>
      <c r="K85" s="111"/>
      <c r="L85" s="111"/>
    </row>
    <row r="86" spans="1:13">
      <c r="A86" s="230" t="s">
        <v>310</v>
      </c>
      <c r="B86" s="54"/>
      <c r="C86" s="231"/>
      <c r="D86" s="54"/>
      <c r="E86" s="103"/>
      <c r="F86" s="90"/>
      <c r="G86" s="100"/>
      <c r="H86" s="90"/>
      <c r="I86" s="90"/>
      <c r="J86" s="90"/>
      <c r="K86" s="90"/>
      <c r="L86" s="90"/>
      <c r="M86" s="57"/>
    </row>
    <row r="87" spans="1:13">
      <c r="A87" s="232" t="s">
        <v>311</v>
      </c>
      <c r="B87" s="54" t="s">
        <v>312</v>
      </c>
      <c r="C87" s="233">
        <v>0.1</v>
      </c>
      <c r="D87" s="54"/>
      <c r="E87" s="103"/>
      <c r="F87" s="90"/>
      <c r="G87" s="100"/>
      <c r="H87" s="90"/>
      <c r="I87" s="90"/>
      <c r="J87" s="90"/>
      <c r="K87" s="90"/>
      <c r="L87" s="90"/>
      <c r="M87" s="57"/>
    </row>
    <row r="88" spans="1:13" ht="17" thickBot="1">
      <c r="A88" s="232" t="s">
        <v>313</v>
      </c>
      <c r="B88" s="54" t="s">
        <v>314</v>
      </c>
      <c r="C88" s="55">
        <f>gosn/(1-2*xpramp)</f>
        <v>22.146813604297897</v>
      </c>
      <c r="D88" s="54" t="s">
        <v>47</v>
      </c>
      <c r="E88" s="103" t="s">
        <v>406</v>
      </c>
      <c r="F88" s="90"/>
      <c r="G88" s="100"/>
      <c r="H88" s="90"/>
      <c r="I88" s="90"/>
      <c r="J88" s="90"/>
      <c r="K88" s="90"/>
      <c r="L88" s="90"/>
      <c r="M88" s="57"/>
    </row>
    <row r="89" spans="1:13">
      <c r="A89" s="167" t="s">
        <v>293</v>
      </c>
      <c r="B89" s="30"/>
      <c r="C89" s="88"/>
      <c r="D89" s="30"/>
      <c r="E89" s="103"/>
      <c r="F89" s="238" t="s">
        <v>305</v>
      </c>
      <c r="G89" s="239"/>
      <c r="H89" s="239"/>
      <c r="I89" s="239"/>
      <c r="J89" s="239"/>
      <c r="K89" s="239"/>
      <c r="L89" s="240"/>
      <c r="M89" s="57"/>
    </row>
    <row r="90" spans="1:13">
      <c r="A90" s="166" t="s">
        <v>308</v>
      </c>
      <c r="B90" s="30" t="s">
        <v>149</v>
      </c>
      <c r="C90" s="167">
        <v>1</v>
      </c>
      <c r="D90" s="30"/>
      <c r="E90" s="103"/>
      <c r="F90" s="113" t="s">
        <v>302</v>
      </c>
      <c r="G90" s="118">
        <v>23</v>
      </c>
      <c r="H90" s="118">
        <v>34</v>
      </c>
      <c r="I90" s="97">
        <v>1</v>
      </c>
      <c r="J90" s="97">
        <v>2</v>
      </c>
      <c r="K90" s="97">
        <v>3</v>
      </c>
      <c r="L90" s="114"/>
      <c r="M90" s="57"/>
    </row>
    <row r="91" spans="1:13">
      <c r="A91" s="4" t="s">
        <v>46</v>
      </c>
      <c r="B91" s="2" t="s">
        <v>184</v>
      </c>
      <c r="C91" s="159">
        <f>IF(NMsize=23,G91,IF(NMsize=34,H91,IF(NMsize=1,I91,IF(NMsize=2,J91,K91))))</f>
        <v>22.515621031242066</v>
      </c>
      <c r="D91" s="2" t="s">
        <v>31</v>
      </c>
      <c r="E91" s="103" t="s">
        <v>405</v>
      </c>
      <c r="F91" s="115" t="s">
        <v>307</v>
      </c>
      <c r="G91" s="119">
        <f>'Motor Options'!F22</f>
        <v>1.801415625</v>
      </c>
      <c r="H91" s="110">
        <f>'Motor Options'!F27</f>
        <v>4.2033031249999997</v>
      </c>
      <c r="I91" s="96">
        <f>'Motor Options'!F7</f>
        <v>22.515621031242066</v>
      </c>
      <c r="J91" s="92">
        <f>'Motor Options'!F12</f>
        <v>44.759969519939041</v>
      </c>
      <c r="K91" s="92">
        <f>'Motor Options'!F17</f>
        <v>28</v>
      </c>
      <c r="L91" s="114"/>
      <c r="M91" s="57"/>
    </row>
    <row r="92" spans="1:13">
      <c r="B92" s="2" t="s">
        <v>185</v>
      </c>
      <c r="C92" s="47">
        <f>Tstallsm*1000</f>
        <v>22515.621031242066</v>
      </c>
      <c r="D92" s="2" t="s">
        <v>31</v>
      </c>
      <c r="E92" s="103" t="s">
        <v>405</v>
      </c>
      <c r="F92" s="115"/>
      <c r="G92" s="118"/>
      <c r="H92" s="118"/>
      <c r="I92" s="97"/>
      <c r="J92" s="97"/>
      <c r="K92" s="97"/>
      <c r="L92" s="114"/>
      <c r="M92" s="57"/>
    </row>
    <row r="93" spans="1:13">
      <c r="A93" s="4" t="s">
        <v>43</v>
      </c>
      <c r="B93" s="2" t="s">
        <v>140</v>
      </c>
      <c r="C93" s="22">
        <f>IF(NMsize=23,G93,IF(NMsize=34,H93,IF(NMsize=1,I93,IF(NMsize=2,J93,K93))))</f>
        <v>75</v>
      </c>
      <c r="D93" s="2" t="s">
        <v>47</v>
      </c>
      <c r="E93" s="103"/>
      <c r="F93" s="115" t="s">
        <v>304</v>
      </c>
      <c r="G93" s="120">
        <f>'Motor Options'!D23</f>
        <v>900</v>
      </c>
      <c r="H93" s="118">
        <f>'Motor Options'!D28</f>
        <v>720</v>
      </c>
      <c r="I93" s="97">
        <f>'Motor Options'!D8</f>
        <v>75</v>
      </c>
      <c r="J93" s="97">
        <f>'Motor Options'!D13</f>
        <v>28</v>
      </c>
      <c r="K93" s="97">
        <f>'Motor Options'!D18</f>
        <v>70</v>
      </c>
      <c r="L93" s="114"/>
      <c r="M93" s="57"/>
    </row>
    <row r="94" spans="1:13" ht="17" thickBot="1">
      <c r="A94" s="4" t="s">
        <v>196</v>
      </c>
      <c r="B94" s="2" t="s">
        <v>197</v>
      </c>
      <c r="C94" s="22">
        <f>IF(NMsize=23,G94,IF(NMsize=34,H94,IF(NMsize=1,I94,IF(NMsize=2,J94,K94))))</f>
        <v>222.5</v>
      </c>
      <c r="D94" s="2" t="s">
        <v>23</v>
      </c>
      <c r="E94" s="103"/>
      <c r="F94" s="116" t="s">
        <v>303</v>
      </c>
      <c r="G94" s="121">
        <f>'Motor Options'!F24</f>
        <v>75</v>
      </c>
      <c r="H94" s="121">
        <f>'Motor Options'!F29</f>
        <v>220</v>
      </c>
      <c r="I94" s="122">
        <f>'Motor Options'!F9</f>
        <v>222.5</v>
      </c>
      <c r="J94" s="122">
        <f>'Motor Options'!F14</f>
        <v>222.5</v>
      </c>
      <c r="K94" s="122">
        <f>'Motor Options'!F19</f>
        <v>200</v>
      </c>
      <c r="L94" s="117"/>
      <c r="M94" s="57"/>
    </row>
    <row r="95" spans="1:13">
      <c r="A95" s="4" t="s">
        <v>131</v>
      </c>
      <c r="B95" s="2" t="s">
        <v>132</v>
      </c>
      <c r="C95" s="43">
        <f>Rpmgmr</f>
        <v>17.717450883438318</v>
      </c>
      <c r="D95" s="2" t="s">
        <v>47</v>
      </c>
      <c r="F95" s="62"/>
      <c r="G95" s="62"/>
      <c r="H95" s="62"/>
      <c r="I95" s="62"/>
      <c r="J95" s="62"/>
      <c r="K95" s="62"/>
      <c r="L95" s="62"/>
    </row>
    <row r="96" spans="1:13">
      <c r="A96" s="4" t="s">
        <v>187</v>
      </c>
      <c r="B96" s="2" t="s">
        <v>183</v>
      </c>
      <c r="C96" s="43">
        <f>Tstallsmm*(wfree34-Rpmgmr)/wfree34</f>
        <v>17196.695568160172</v>
      </c>
      <c r="D96" s="2" t="s">
        <v>31</v>
      </c>
    </row>
    <row r="97" spans="1:6">
      <c r="A97" s="4" t="s">
        <v>188</v>
      </c>
      <c r="B97" s="2" t="s">
        <v>189</v>
      </c>
      <c r="C97" s="43">
        <f>tgm</f>
        <v>12445.057139081049</v>
      </c>
      <c r="D97" s="2" t="s">
        <v>31</v>
      </c>
    </row>
    <row r="98" spans="1:6">
      <c r="A98" s="4"/>
      <c r="C98" s="43">
        <f>C97/4.45/25.4</f>
        <v>110.10401786323143</v>
      </c>
      <c r="D98" s="2" t="s">
        <v>41</v>
      </c>
    </row>
    <row r="99" spans="1:6" ht="17" thickBot="1">
      <c r="A99" s="162" t="s">
        <v>190</v>
      </c>
      <c r="B99" s="131" t="s">
        <v>191</v>
      </c>
      <c r="C99" s="132">
        <f>ROUNDUP(tgm/NemaTas,0)</f>
        <v>1</v>
      </c>
      <c r="D99" s="131"/>
    </row>
    <row r="100" spans="1:6">
      <c r="A100" s="63" t="s">
        <v>413</v>
      </c>
      <c r="B100" s="64" t="s">
        <v>224</v>
      </c>
      <c r="C100" s="65">
        <f>tgm/(Dpinion/2)/NMr</f>
        <v>522.62707145747186</v>
      </c>
      <c r="D100" s="2" t="s">
        <v>23</v>
      </c>
      <c r="E100" s="57" t="s">
        <v>278</v>
      </c>
      <c r="F100" s="57"/>
    </row>
    <row r="101" spans="1:6">
      <c r="A101" s="66"/>
      <c r="B101" s="54"/>
      <c r="C101" s="56">
        <f>PFPLr/4.45</f>
        <v>117.44428572078019</v>
      </c>
      <c r="D101" s="2" t="s">
        <v>186</v>
      </c>
      <c r="E101" s="57"/>
      <c r="F101" s="57"/>
    </row>
    <row r="102" spans="1:6">
      <c r="A102" s="66" t="s">
        <v>414</v>
      </c>
      <c r="B102" s="54" t="s">
        <v>415</v>
      </c>
      <c r="C102" s="163">
        <f>PFPLr/Fradmaxm</f>
        <v>2.3488857144156037</v>
      </c>
      <c r="D102" s="103"/>
      <c r="E102" s="57"/>
      <c r="F102" s="57"/>
    </row>
    <row r="103" spans="1:6">
      <c r="A103" s="66" t="s">
        <v>198</v>
      </c>
      <c r="B103" s="54"/>
      <c r="C103" s="50" t="str">
        <f>IF(C100&gt;Fradmaxm,"force too high?","force OK")</f>
        <v>force too high?</v>
      </c>
      <c r="D103" s="67"/>
      <c r="E103" s="57" t="s">
        <v>279</v>
      </c>
      <c r="F103" s="57"/>
    </row>
    <row r="104" spans="1:6">
      <c r="A104" s="66" t="s">
        <v>133</v>
      </c>
      <c r="B104" s="54" t="s">
        <v>102</v>
      </c>
      <c r="C104" s="55">
        <f>cmh2O</f>
        <v>44.444444444444443</v>
      </c>
      <c r="D104" s="67" t="s">
        <v>134</v>
      </c>
      <c r="E104" s="57"/>
      <c r="F104" s="57"/>
    </row>
    <row r="105" spans="1:6" ht="17" thickBot="1">
      <c r="A105" s="68"/>
      <c r="B105" s="69"/>
      <c r="C105" s="70">
        <f>cmh2O/1.3</f>
        <v>34.188034188034187</v>
      </c>
      <c r="D105" s="71" t="s">
        <v>116</v>
      </c>
      <c r="E105" s="57"/>
      <c r="F105" s="57"/>
    </row>
    <row r="106" spans="1:6">
      <c r="A106" s="160" t="s">
        <v>223</v>
      </c>
      <c r="B106" s="62" t="s">
        <v>182</v>
      </c>
      <c r="C106" s="161">
        <f>NemaTas/(Dpinion/2)</f>
        <v>722.17094249491538</v>
      </c>
      <c r="D106" s="62" t="s">
        <v>23</v>
      </c>
    </row>
    <row r="107" spans="1:6">
      <c r="A107" s="4"/>
      <c r="C107" s="43">
        <f>PFPL/4.45</f>
        <v>162.28560505503717</v>
      </c>
      <c r="D107" s="2" t="s">
        <v>186</v>
      </c>
    </row>
    <row r="108" spans="1:6">
      <c r="A108" s="66" t="s">
        <v>414</v>
      </c>
      <c r="C108" s="164">
        <f>PFPL/Fradmaxm</f>
        <v>3.2457121011007435</v>
      </c>
    </row>
    <row r="109" spans="1:6">
      <c r="A109" s="4" t="s">
        <v>198</v>
      </c>
      <c r="C109" s="50" t="str">
        <f>IF(C106&gt;Fradmaxm,"force too high?","force OK")</f>
        <v>force too high?</v>
      </c>
    </row>
    <row r="110" spans="1:6">
      <c r="A110" s="165" t="s">
        <v>133</v>
      </c>
      <c r="B110" s="54" t="s">
        <v>225</v>
      </c>
      <c r="C110" s="55">
        <f>cmh2O*Tstallsmm/tgm</f>
        <v>80.408973367646169</v>
      </c>
      <c r="D110" s="54" t="s">
        <v>134</v>
      </c>
    </row>
    <row r="111" spans="1:6">
      <c r="A111" s="58"/>
      <c r="B111" s="59"/>
      <c r="C111" s="60">
        <f>cmH2Omax/1.3</f>
        <v>61.853056436650895</v>
      </c>
      <c r="D111" s="59" t="s">
        <v>116</v>
      </c>
    </row>
    <row r="142" spans="3:3">
      <c r="C142" s="42"/>
    </row>
    <row r="155" spans="3:3" customFormat="1">
      <c r="C155" s="52"/>
    </row>
    <row r="156" spans="3:3" customFormat="1">
      <c r="C156" s="52"/>
    </row>
    <row r="157" spans="3:3" customFormat="1">
      <c r="C157" s="52"/>
    </row>
    <row r="158" spans="3:3" customFormat="1">
      <c r="C158" s="52"/>
    </row>
    <row r="159" spans="3:3" customFormat="1">
      <c r="C159" s="52"/>
    </row>
    <row r="160" spans="3:3" customFormat="1">
      <c r="C160" s="52"/>
    </row>
    <row r="161" spans="3:3" customFormat="1">
      <c r="C161" s="52"/>
    </row>
    <row r="162" spans="3:3" customFormat="1">
      <c r="C162" s="52"/>
    </row>
    <row r="163" spans="3:3" customFormat="1">
      <c r="C163" s="52"/>
    </row>
    <row r="164" spans="3:3" customFormat="1">
      <c r="C164" s="52"/>
    </row>
    <row r="165" spans="3:3" customFormat="1">
      <c r="C165" s="52"/>
    </row>
    <row r="166" spans="3:3" customFormat="1">
      <c r="C166" s="52"/>
    </row>
    <row r="167" spans="3:3" customFormat="1">
      <c r="C167" s="52"/>
    </row>
    <row r="168" spans="3:3" customFormat="1">
      <c r="C168" s="52"/>
    </row>
    <row r="169" spans="3:3" customFormat="1">
      <c r="C169" s="52"/>
    </row>
    <row r="170" spans="3:3" customFormat="1">
      <c r="C170" s="52"/>
    </row>
    <row r="171" spans="3:3" customFormat="1">
      <c r="C171" s="52"/>
    </row>
    <row r="172" spans="3:3" customFormat="1">
      <c r="C172" s="52"/>
    </row>
    <row r="173" spans="3:3" customFormat="1">
      <c r="C173" s="52"/>
    </row>
    <row r="174" spans="3:3" customFormat="1">
      <c r="C174" s="52"/>
    </row>
    <row r="175" spans="3:3" customFormat="1">
      <c r="C175" s="52"/>
    </row>
    <row r="176" spans="3:3" customFormat="1">
      <c r="C176" s="52"/>
    </row>
    <row r="177" spans="3:3" customFormat="1">
      <c r="C177" s="52"/>
    </row>
    <row r="178" spans="3:3" customFormat="1">
      <c r="C178" s="52"/>
    </row>
    <row r="179" spans="3:3" customFormat="1">
      <c r="C179" s="52"/>
    </row>
    <row r="180" spans="3:3" customFormat="1">
      <c r="C180" s="52"/>
    </row>
    <row r="181" spans="3:3" customFormat="1">
      <c r="C181" s="52"/>
    </row>
    <row r="182" spans="3:3" customFormat="1">
      <c r="C182" s="52"/>
    </row>
    <row r="183" spans="3:3" customFormat="1">
      <c r="C183" s="52"/>
    </row>
    <row r="184" spans="3:3" customFormat="1">
      <c r="C184" s="52"/>
    </row>
    <row r="185" spans="3:3" customFormat="1">
      <c r="C185" s="52"/>
    </row>
    <row r="186" spans="3:3" customFormat="1">
      <c r="C186" s="52"/>
    </row>
    <row r="187" spans="3:3" customFormat="1">
      <c r="C187" s="52"/>
    </row>
    <row r="188" spans="3:3" customFormat="1">
      <c r="C188" s="52"/>
    </row>
    <row r="189" spans="3:3" customFormat="1">
      <c r="C189" s="52"/>
    </row>
    <row r="190" spans="3:3" customFormat="1">
      <c r="C190" s="52"/>
    </row>
    <row r="191" spans="3:3" customFormat="1">
      <c r="C191" s="52"/>
    </row>
    <row r="192" spans="3:3" customFormat="1">
      <c r="C192" s="52"/>
    </row>
    <row r="193" spans="3:3" customFormat="1">
      <c r="C193" s="52"/>
    </row>
    <row r="194" spans="3:3" customFormat="1">
      <c r="C194" s="52"/>
    </row>
    <row r="195" spans="3:3" customFormat="1">
      <c r="C195" s="52"/>
    </row>
    <row r="196" spans="3:3" customFormat="1">
      <c r="C196" s="52"/>
    </row>
    <row r="197" spans="3:3" customFormat="1">
      <c r="C197" s="52"/>
    </row>
    <row r="198" spans="3:3" customFormat="1">
      <c r="C198" s="52"/>
    </row>
    <row r="199" spans="3:3" customFormat="1">
      <c r="C199" s="52"/>
    </row>
    <row r="200" spans="3:3" customFormat="1">
      <c r="C200" s="52"/>
    </row>
    <row r="201" spans="3:3" customFormat="1">
      <c r="C201" s="52"/>
    </row>
    <row r="202" spans="3:3" customFormat="1">
      <c r="C202" s="52"/>
    </row>
    <row r="203" spans="3:3" customFormat="1">
      <c r="C203" s="52"/>
    </row>
    <row r="204" spans="3:3" customFormat="1">
      <c r="C204" s="52"/>
    </row>
    <row r="205" spans="3:3" customFormat="1">
      <c r="C205" s="52"/>
    </row>
    <row r="206" spans="3:3" customFormat="1">
      <c r="C206" s="52"/>
    </row>
    <row r="207" spans="3:3" customFormat="1">
      <c r="C207" s="52"/>
    </row>
    <row r="208" spans="3:3" customFormat="1">
      <c r="C208" s="52"/>
    </row>
    <row r="209" spans="3:3" customFormat="1">
      <c r="C209" s="52"/>
    </row>
    <row r="210" spans="3:3" customFormat="1">
      <c r="C210" s="52"/>
    </row>
    <row r="211" spans="3:3" customFormat="1">
      <c r="C211" s="52"/>
    </row>
    <row r="212" spans="3:3" customFormat="1">
      <c r="C212" s="52"/>
    </row>
    <row r="213" spans="3:3" customFormat="1">
      <c r="C213" s="52"/>
    </row>
    <row r="214" spans="3:3" customFormat="1">
      <c r="C214" s="52"/>
    </row>
    <row r="215" spans="3:3" customFormat="1">
      <c r="C215" s="52"/>
    </row>
    <row r="216" spans="3:3" customFormat="1">
      <c r="C216" s="52"/>
    </row>
    <row r="217" spans="3:3" customFormat="1">
      <c r="C217" s="52"/>
    </row>
    <row r="218" spans="3:3" customFormat="1">
      <c r="C218" s="52"/>
    </row>
    <row r="219" spans="3:3" customFormat="1">
      <c r="C219" s="52"/>
    </row>
    <row r="220" spans="3:3" customFormat="1">
      <c r="C220" s="52"/>
    </row>
    <row r="221" spans="3:3" customFormat="1">
      <c r="C221" s="52"/>
    </row>
    <row r="222" spans="3:3" customFormat="1">
      <c r="C222" s="52"/>
    </row>
    <row r="223" spans="3:3" customFormat="1">
      <c r="C223" s="52"/>
    </row>
    <row r="224" spans="3:3" customFormat="1">
      <c r="C224" s="52"/>
    </row>
    <row r="225" spans="3:3" customFormat="1">
      <c r="C225" s="52"/>
    </row>
    <row r="226" spans="3:3" customFormat="1">
      <c r="C226" s="52"/>
    </row>
    <row r="227" spans="3:3" customFormat="1">
      <c r="C227" s="52"/>
    </row>
    <row r="228" spans="3:3" customFormat="1">
      <c r="C228" s="52"/>
    </row>
    <row r="229" spans="3:3" customFormat="1">
      <c r="C229" s="52"/>
    </row>
    <row r="230" spans="3:3" customFormat="1">
      <c r="C230" s="52"/>
    </row>
    <row r="231" spans="3:3" customFormat="1">
      <c r="C231" s="52"/>
    </row>
    <row r="232" spans="3:3" customFormat="1">
      <c r="C232" s="52"/>
    </row>
    <row r="233" spans="3:3" customFormat="1">
      <c r="C233" s="52"/>
    </row>
    <row r="234" spans="3:3" customFormat="1">
      <c r="C234" s="52"/>
    </row>
    <row r="235" spans="3:3" customFormat="1">
      <c r="C235" s="52"/>
    </row>
    <row r="236" spans="3:3" customFormat="1">
      <c r="C236" s="52"/>
    </row>
    <row r="237" spans="3:3" customFormat="1">
      <c r="C237" s="52"/>
    </row>
    <row r="238" spans="3:3" customFormat="1">
      <c r="C238" s="52"/>
    </row>
    <row r="239" spans="3:3" customFormat="1">
      <c r="C239" s="52"/>
    </row>
    <row r="240" spans="3:3" customFormat="1">
      <c r="C240" s="52"/>
    </row>
    <row r="241" spans="3:3" customFormat="1">
      <c r="C241" s="52"/>
    </row>
    <row r="242" spans="3:3" customFormat="1">
      <c r="C242" s="52"/>
    </row>
    <row r="243" spans="3:3" customFormat="1">
      <c r="C243" s="52"/>
    </row>
    <row r="244" spans="3:3" customFormat="1">
      <c r="C244" s="52"/>
    </row>
    <row r="245" spans="3:3" customFormat="1">
      <c r="C245" s="52"/>
    </row>
    <row r="246" spans="3:3" customFormat="1">
      <c r="C246" s="52"/>
    </row>
    <row r="247" spans="3:3" customFormat="1">
      <c r="C247" s="52"/>
    </row>
    <row r="248" spans="3:3" customFormat="1">
      <c r="C248" s="52"/>
    </row>
    <row r="249" spans="3:3" customFormat="1">
      <c r="C249" s="52"/>
    </row>
    <row r="250" spans="3:3" customFormat="1">
      <c r="C250" s="52"/>
    </row>
    <row r="251" spans="3:3" customFormat="1">
      <c r="C251" s="52"/>
    </row>
    <row r="252" spans="3:3" customFormat="1">
      <c r="C252" s="52"/>
    </row>
    <row r="253" spans="3:3" customFormat="1">
      <c r="C253" s="52"/>
    </row>
    <row r="254" spans="3:3" customFormat="1">
      <c r="C254" s="52"/>
    </row>
    <row r="255" spans="3:3" customFormat="1">
      <c r="C255" s="52"/>
    </row>
    <row r="256" spans="3:3" customFormat="1">
      <c r="C256" s="52"/>
    </row>
    <row r="257" spans="3:3" customFormat="1">
      <c r="C257" s="52"/>
    </row>
    <row r="258" spans="3:3" customFormat="1">
      <c r="C258" s="52"/>
    </row>
    <row r="259" spans="3:3" customFormat="1">
      <c r="C259" s="52"/>
    </row>
    <row r="260" spans="3:3" customFormat="1">
      <c r="C260" s="52"/>
    </row>
    <row r="261" spans="3:3" customFormat="1">
      <c r="C261" s="52"/>
    </row>
    <row r="262" spans="3:3" customFormat="1">
      <c r="C262" s="52"/>
    </row>
    <row r="263" spans="3:3" customFormat="1">
      <c r="C263" s="52"/>
    </row>
    <row r="264" spans="3:3" customFormat="1">
      <c r="C264" s="52"/>
    </row>
    <row r="265" spans="3:3" customFormat="1">
      <c r="C265" s="52"/>
    </row>
    <row r="266" spans="3:3" customFormat="1">
      <c r="C266" s="52"/>
    </row>
    <row r="267" spans="3:3" customFormat="1">
      <c r="C267" s="52"/>
    </row>
    <row r="268" spans="3:3" customFormat="1">
      <c r="C268" s="52"/>
    </row>
    <row r="269" spans="3:3" customFormat="1">
      <c r="C269" s="52"/>
    </row>
    <row r="270" spans="3:3" customFormat="1">
      <c r="C270" s="52"/>
    </row>
    <row r="271" spans="3:3" customFormat="1">
      <c r="C271" s="52"/>
    </row>
    <row r="272" spans="3:3" customFormat="1">
      <c r="C272" s="52"/>
    </row>
    <row r="273" spans="3:3" customFormat="1">
      <c r="C273" s="52"/>
    </row>
    <row r="274" spans="3:3" customFormat="1">
      <c r="C274" s="52"/>
    </row>
    <row r="275" spans="3:3" customFormat="1">
      <c r="C275" s="52"/>
    </row>
    <row r="276" spans="3:3" customFormat="1">
      <c r="C276" s="52"/>
    </row>
    <row r="277" spans="3:3" customFormat="1">
      <c r="C277" s="52"/>
    </row>
    <row r="278" spans="3:3" customFormat="1">
      <c r="C278" s="52"/>
    </row>
    <row r="279" spans="3:3" customFormat="1">
      <c r="C279" s="52"/>
    </row>
    <row r="280" spans="3:3" customFormat="1">
      <c r="C280" s="52"/>
    </row>
    <row r="281" spans="3:3" customFormat="1">
      <c r="C281" s="52"/>
    </row>
    <row r="282" spans="3:3" customFormat="1">
      <c r="C282" s="52"/>
    </row>
    <row r="283" spans="3:3" customFormat="1">
      <c r="C283" s="52"/>
    </row>
    <row r="284" spans="3:3" customFormat="1">
      <c r="C284" s="52"/>
    </row>
    <row r="285" spans="3:3" customFormat="1">
      <c r="C285" s="52"/>
    </row>
    <row r="286" spans="3:3" customFormat="1">
      <c r="C286" s="52"/>
    </row>
  </sheetData>
  <mergeCells count="4">
    <mergeCell ref="E36:J36"/>
    <mergeCell ref="F89:L89"/>
    <mergeCell ref="A52:C52"/>
    <mergeCell ref="B4:E4"/>
  </mergeCells>
  <pageMargins left="0.7" right="0.7" top="0.75" bottom="0.75" header="0.3" footer="0.3"/>
  <pageSetup orientation="portrait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D09FE-BDA6-754D-8F9F-80B658E9D33A}">
  <dimension ref="A1:D18"/>
  <sheetViews>
    <sheetView tabSelected="1" workbookViewId="0">
      <selection activeCell="I5" sqref="I5"/>
    </sheetView>
  </sheetViews>
  <sheetFormatPr baseColWidth="10" defaultRowHeight="16"/>
  <sheetData>
    <row r="1" spans="1:4">
      <c r="A1" t="s">
        <v>148</v>
      </c>
      <c r="B1" t="s">
        <v>135</v>
      </c>
      <c r="C1" t="s">
        <v>136</v>
      </c>
      <c r="D1" t="s">
        <v>137</v>
      </c>
    </row>
    <row r="2" spans="1:4">
      <c r="A2">
        <v>1</v>
      </c>
      <c r="B2" s="27">
        <v>43914</v>
      </c>
      <c r="C2" t="s">
        <v>138</v>
      </c>
      <c r="D2" t="s">
        <v>139</v>
      </c>
    </row>
    <row r="3" spans="1:4">
      <c r="A3">
        <v>2</v>
      </c>
      <c r="B3" s="27">
        <v>43914</v>
      </c>
      <c r="C3" t="s">
        <v>138</v>
      </c>
      <c r="D3" t="s">
        <v>147</v>
      </c>
    </row>
    <row r="4" spans="1:4">
      <c r="A4">
        <v>3</v>
      </c>
      <c r="B4" s="27">
        <v>43914</v>
      </c>
      <c r="C4" t="s">
        <v>138</v>
      </c>
      <c r="D4" t="s">
        <v>199</v>
      </c>
    </row>
    <row r="5" spans="1:4">
      <c r="A5">
        <v>4</v>
      </c>
      <c r="B5" s="27">
        <v>43914</v>
      </c>
      <c r="C5" t="s">
        <v>138</v>
      </c>
      <c r="D5" t="s">
        <v>220</v>
      </c>
    </row>
    <row r="6" spans="1:4">
      <c r="A6">
        <v>5</v>
      </c>
      <c r="B6" s="27">
        <v>43915</v>
      </c>
      <c r="C6" t="s">
        <v>138</v>
      </c>
      <c r="D6" t="s">
        <v>226</v>
      </c>
    </row>
    <row r="7" spans="1:4">
      <c r="A7">
        <v>6</v>
      </c>
      <c r="B7" s="27">
        <v>43916</v>
      </c>
      <c r="C7" t="s">
        <v>138</v>
      </c>
      <c r="D7" t="s">
        <v>228</v>
      </c>
    </row>
    <row r="8" spans="1:4">
      <c r="A8">
        <v>7</v>
      </c>
      <c r="B8" s="27">
        <v>43917</v>
      </c>
      <c r="C8" t="s">
        <v>138</v>
      </c>
      <c r="D8" t="s">
        <v>229</v>
      </c>
    </row>
    <row r="9" spans="1:4">
      <c r="A9">
        <v>8</v>
      </c>
      <c r="B9" s="27">
        <v>43918</v>
      </c>
      <c r="C9" t="s">
        <v>138</v>
      </c>
      <c r="D9" t="s">
        <v>287</v>
      </c>
    </row>
    <row r="10" spans="1:4">
      <c r="A10">
        <v>9</v>
      </c>
      <c r="B10" s="27">
        <v>43919</v>
      </c>
      <c r="C10" t="s">
        <v>138</v>
      </c>
      <c r="D10" t="s">
        <v>287</v>
      </c>
    </row>
    <row r="11" spans="1:4">
      <c r="A11">
        <v>10</v>
      </c>
      <c r="B11" s="27">
        <v>43919</v>
      </c>
      <c r="C11" t="s">
        <v>138</v>
      </c>
      <c r="D11" t="s">
        <v>386</v>
      </c>
    </row>
    <row r="12" spans="1:4">
      <c r="A12">
        <v>11</v>
      </c>
      <c r="B12" s="27">
        <v>43919</v>
      </c>
      <c r="C12" t="s">
        <v>138</v>
      </c>
      <c r="D12" t="s">
        <v>412</v>
      </c>
    </row>
    <row r="13" spans="1:4">
      <c r="A13">
        <v>12</v>
      </c>
      <c r="B13" s="27">
        <v>43919</v>
      </c>
      <c r="C13" t="s">
        <v>138</v>
      </c>
      <c r="D13" t="s">
        <v>419</v>
      </c>
    </row>
    <row r="14" spans="1:4">
      <c r="A14">
        <v>13</v>
      </c>
      <c r="B14" s="27">
        <v>43919</v>
      </c>
      <c r="C14" t="s">
        <v>138</v>
      </c>
      <c r="D14" t="s">
        <v>421</v>
      </c>
    </row>
    <row r="15" spans="1:4">
      <c r="A15">
        <v>14</v>
      </c>
      <c r="B15" s="27">
        <v>43922</v>
      </c>
      <c r="C15" t="s">
        <v>138</v>
      </c>
      <c r="D15" t="s">
        <v>484</v>
      </c>
    </row>
    <row r="16" spans="1:4">
      <c r="A16">
        <v>15</v>
      </c>
      <c r="B16" s="27">
        <v>43929</v>
      </c>
      <c r="C16" t="s">
        <v>138</v>
      </c>
      <c r="D16" t="s">
        <v>485</v>
      </c>
    </row>
    <row r="17" spans="1:4">
      <c r="A17">
        <v>1</v>
      </c>
      <c r="B17" s="27">
        <v>43930</v>
      </c>
      <c r="C17" t="s">
        <v>138</v>
      </c>
      <c r="D17" t="s">
        <v>554</v>
      </c>
    </row>
    <row r="18" spans="1:4">
      <c r="A18">
        <v>2</v>
      </c>
      <c r="B18" s="27">
        <v>43931</v>
      </c>
      <c r="C18" t="s">
        <v>138</v>
      </c>
      <c r="D18" t="s">
        <v>555</v>
      </c>
    </row>
  </sheetData>
  <pageMargins left="0.7" right="0.7" top="0.75" bottom="0.75" header="0.3" footer="0.3"/>
  <pageSetup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29F1A-0DFF-2640-8E50-101721C15B8A}">
  <dimension ref="A4:E7"/>
  <sheetViews>
    <sheetView workbookViewId="0">
      <selection activeCell="P47" sqref="P47"/>
    </sheetView>
  </sheetViews>
  <sheetFormatPr baseColWidth="10" defaultRowHeight="16"/>
  <cols>
    <col min="1" max="1" width="33.6640625" customWidth="1"/>
  </cols>
  <sheetData>
    <row r="4" spans="1:5">
      <c r="A4" t="s">
        <v>255</v>
      </c>
      <c r="B4" s="77">
        <v>50</v>
      </c>
      <c r="C4" t="s">
        <v>36</v>
      </c>
    </row>
    <row r="5" spans="1:5">
      <c r="A5" t="s">
        <v>254</v>
      </c>
      <c r="B5" s="78">
        <v>40</v>
      </c>
      <c r="C5" t="s">
        <v>36</v>
      </c>
    </row>
    <row r="6" spans="1:5">
      <c r="A6" t="s">
        <v>257</v>
      </c>
      <c r="B6" s="78">
        <v>45</v>
      </c>
      <c r="C6" t="s">
        <v>53</v>
      </c>
    </row>
    <row r="7" spans="1:5">
      <c r="A7" t="s">
        <v>256</v>
      </c>
      <c r="B7" s="79">
        <f>0.5*(B4-Bag2eD)*SIN(B6*PI()/180)</f>
        <v>3.5355339059327373</v>
      </c>
      <c r="C7" t="s">
        <v>36</v>
      </c>
      <c r="E7" t="s">
        <v>258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45284-D4EB-844C-A052-C26E513F9CF3}">
  <dimension ref="A1:AB44"/>
  <sheetViews>
    <sheetView workbookViewId="0">
      <selection activeCell="B12" sqref="B12"/>
    </sheetView>
  </sheetViews>
  <sheetFormatPr baseColWidth="10" defaultRowHeight="16"/>
  <cols>
    <col min="1" max="1" width="40" customWidth="1"/>
  </cols>
  <sheetData>
    <row r="1" spans="1:28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</row>
    <row r="2" spans="1:28">
      <c r="A2" s="156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</row>
    <row r="3" spans="1:28">
      <c r="A3" s="156" t="s">
        <v>392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>
      <c r="A4" s="156" t="s">
        <v>393</v>
      </c>
      <c r="B4" s="156">
        <v>18.100000000000001</v>
      </c>
      <c r="C4" s="156">
        <v>18.100000000000001</v>
      </c>
      <c r="D4" s="156" t="s">
        <v>394</v>
      </c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>
      <c r="A5" s="156" t="s">
        <v>395</v>
      </c>
      <c r="B5" s="156">
        <v>4.82</v>
      </c>
      <c r="C5" s="156">
        <v>4.82</v>
      </c>
      <c r="D5" s="156" t="s">
        <v>394</v>
      </c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</row>
    <row r="6" spans="1:28">
      <c r="A6" s="156" t="s">
        <v>396</v>
      </c>
      <c r="B6" s="156">
        <v>3</v>
      </c>
      <c r="C6" s="156">
        <v>4</v>
      </c>
      <c r="D6" s="156" t="s">
        <v>397</v>
      </c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</row>
    <row r="7" spans="1:28">
      <c r="A7" s="156" t="s">
        <v>398</v>
      </c>
      <c r="B7" s="156">
        <v>39.840000000000003</v>
      </c>
      <c r="C7" s="156">
        <v>53.12</v>
      </c>
      <c r="D7" s="156" t="s">
        <v>397</v>
      </c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</row>
    <row r="8" spans="1:28">
      <c r="A8" s="156" t="s">
        <v>399</v>
      </c>
      <c r="B8" s="157">
        <v>653</v>
      </c>
      <c r="C8" s="157">
        <v>870</v>
      </c>
      <c r="D8" s="156" t="s">
        <v>400</v>
      </c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</row>
    <row r="9" spans="1:28">
      <c r="A9" s="156" t="s">
        <v>401</v>
      </c>
      <c r="B9" s="158">
        <v>0.2</v>
      </c>
      <c r="C9" s="158">
        <v>0.2</v>
      </c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</row>
    <row r="10" spans="1:28">
      <c r="A10" s="156" t="s">
        <v>402</v>
      </c>
      <c r="B10" s="157">
        <v>783</v>
      </c>
      <c r="C10" s="157">
        <v>1045</v>
      </c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</row>
    <row r="11" spans="1:28">
      <c r="A11" s="156" t="s">
        <v>403</v>
      </c>
      <c r="B11" s="156" t="s">
        <v>404</v>
      </c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</row>
    <row r="12" spans="1:28">
      <c r="A12" s="156"/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</row>
    <row r="13" spans="1:28">
      <c r="A13" s="156"/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</row>
    <row r="14" spans="1:28">
      <c r="A14" s="156"/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</row>
    <row r="15" spans="1:28">
      <c r="A15" s="156"/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</row>
    <row r="16" spans="1:28">
      <c r="A16" s="156"/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</row>
    <row r="17" spans="1:28">
      <c r="A17" s="156"/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</row>
    <row r="18" spans="1:28">
      <c r="A18" s="156"/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</row>
    <row r="19" spans="1:28">
      <c r="A19" s="156"/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</row>
    <row r="20" spans="1:28">
      <c r="A20" s="156"/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</row>
    <row r="21" spans="1:28">
      <c r="A21" s="156"/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</row>
    <row r="22" spans="1:28">
      <c r="A22" s="156"/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</row>
    <row r="23" spans="1:28">
      <c r="A23" s="156"/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</row>
    <row r="24" spans="1:28">
      <c r="A24" s="156"/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</row>
    <row r="25" spans="1:28">
      <c r="A25" s="156"/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</row>
    <row r="26" spans="1:28">
      <c r="A26" s="156"/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</row>
    <row r="27" spans="1:28">
      <c r="A27" s="156"/>
      <c r="B27" s="156"/>
      <c r="C27" s="156"/>
      <c r="D27" s="156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</row>
    <row r="28" spans="1:28">
      <c r="A28" s="156"/>
      <c r="B28" s="156"/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</row>
    <row r="29" spans="1:28">
      <c r="A29" s="156"/>
      <c r="B29" s="156"/>
      <c r="C29" s="156"/>
      <c r="D29" s="156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</row>
    <row r="30" spans="1:28">
      <c r="A30" s="156"/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</row>
    <row r="31" spans="1:28">
      <c r="A31" s="156"/>
      <c r="B31" s="156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</row>
    <row r="32" spans="1:28">
      <c r="A32" s="156"/>
      <c r="B32" s="156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</row>
    <row r="33" spans="1:28">
      <c r="A33" s="156"/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</row>
    <row r="34" spans="1:28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</row>
    <row r="35" spans="1:28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</row>
    <row r="36" spans="1:28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</row>
    <row r="37" spans="1:28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</row>
    <row r="38" spans="1:28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</row>
    <row r="39" spans="1:28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</row>
    <row r="40" spans="1:28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</row>
    <row r="41" spans="1:28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</row>
    <row r="42" spans="1:28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</row>
    <row r="43" spans="1:28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</row>
    <row r="44" spans="1:28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336A3-B6BB-9644-B2D2-C2551ED86425}">
  <dimension ref="A1:D21"/>
  <sheetViews>
    <sheetView workbookViewId="0">
      <selection activeCell="D20" sqref="A1:D20"/>
    </sheetView>
  </sheetViews>
  <sheetFormatPr baseColWidth="10" defaultRowHeight="16"/>
  <cols>
    <col min="1" max="1" width="66.83203125" customWidth="1"/>
    <col min="3" max="3" width="9" style="52" customWidth="1"/>
    <col min="4" max="4" width="16" customWidth="1"/>
  </cols>
  <sheetData>
    <row r="1" spans="1:4">
      <c r="A1" s="2" t="s">
        <v>464</v>
      </c>
      <c r="B1" s="2"/>
      <c r="C1" s="5"/>
      <c r="D1" s="2"/>
    </row>
    <row r="2" spans="1:4">
      <c r="A2" s="5" t="s">
        <v>458</v>
      </c>
      <c r="B2" s="2"/>
      <c r="C2" s="5"/>
      <c r="D2" s="2"/>
    </row>
    <row r="3" spans="1:4">
      <c r="A3" s="4" t="s">
        <v>457</v>
      </c>
      <c r="B3" s="2" t="s">
        <v>456</v>
      </c>
      <c r="C3" s="5">
        <v>0.45500000000000002</v>
      </c>
      <c r="D3" s="2" t="s">
        <v>260</v>
      </c>
    </row>
    <row r="4" spans="1:4">
      <c r="A4" s="4" t="s">
        <v>455</v>
      </c>
      <c r="B4" s="2" t="s">
        <v>454</v>
      </c>
      <c r="C4" s="5">
        <v>0.16</v>
      </c>
      <c r="D4" s="2" t="s">
        <v>260</v>
      </c>
    </row>
    <row r="5" spans="1:4">
      <c r="A5" s="4" t="s">
        <v>61</v>
      </c>
      <c r="B5" s="2" t="s">
        <v>453</v>
      </c>
      <c r="C5" s="5">
        <f>(waboff-sbb)/2</f>
        <v>0.14750000000000002</v>
      </c>
      <c r="D5" s="2" t="s">
        <v>260</v>
      </c>
    </row>
    <row r="6" spans="1:4">
      <c r="A6" s="4" t="s">
        <v>452</v>
      </c>
      <c r="B6" s="2" t="s">
        <v>451</v>
      </c>
      <c r="C6" s="5">
        <f>wob+sbb</f>
        <v>0.3075</v>
      </c>
      <c r="D6" s="2" t="s">
        <v>260</v>
      </c>
    </row>
    <row r="7" spans="1:4">
      <c r="A7" s="4" t="s">
        <v>450</v>
      </c>
      <c r="B7" s="2" t="s">
        <v>449</v>
      </c>
      <c r="C7" s="5">
        <v>460</v>
      </c>
      <c r="D7" s="2" t="s">
        <v>22</v>
      </c>
    </row>
    <row r="8" spans="1:4">
      <c r="A8" s="4" t="s">
        <v>448</v>
      </c>
      <c r="B8" s="2" t="s">
        <v>447</v>
      </c>
      <c r="C8" s="43">
        <f>drlc*dbbcl</f>
        <v>141.44999999999999</v>
      </c>
      <c r="D8" s="2" t="s">
        <v>41</v>
      </c>
    </row>
    <row r="9" spans="1:4">
      <c r="A9" s="2"/>
      <c r="B9" s="2"/>
      <c r="C9" s="5"/>
      <c r="D9" s="2"/>
    </row>
    <row r="10" spans="1:4">
      <c r="A10" s="5" t="s">
        <v>446</v>
      </c>
      <c r="B10" s="2"/>
      <c r="C10" s="5"/>
      <c r="D10" s="2"/>
    </row>
    <row r="11" spans="1:4">
      <c r="A11" s="4" t="s">
        <v>460</v>
      </c>
      <c r="B11" s="2" t="s">
        <v>461</v>
      </c>
      <c r="C11" s="5">
        <v>0.5</v>
      </c>
      <c r="D11" s="2"/>
    </row>
    <row r="12" spans="1:4">
      <c r="A12" s="4" t="s">
        <v>459</v>
      </c>
      <c r="B12" s="2" t="s">
        <v>445</v>
      </c>
      <c r="C12" s="5">
        <f>11.684/25.4</f>
        <v>0.46</v>
      </c>
      <c r="D12" s="2" t="s">
        <v>260</v>
      </c>
    </row>
    <row r="13" spans="1:4">
      <c r="A13" s="4" t="s">
        <v>462</v>
      </c>
      <c r="B13" s="2" t="s">
        <v>444</v>
      </c>
      <c r="C13" s="22">
        <f>woac/2+dddgbg</f>
        <v>0.73</v>
      </c>
      <c r="D13" s="2" t="s">
        <v>260</v>
      </c>
    </row>
    <row r="14" spans="1:4">
      <c r="A14" s="4" t="s">
        <v>463</v>
      </c>
      <c r="B14" s="2" t="s">
        <v>443</v>
      </c>
      <c r="C14" s="49">
        <f>dcagbf+waboff/2</f>
        <v>0.95750000000000002</v>
      </c>
      <c r="D14" s="2" t="s">
        <v>260</v>
      </c>
    </row>
    <row r="15" spans="1:4">
      <c r="A15" s="4" t="s">
        <v>442</v>
      </c>
      <c r="B15" s="2" t="s">
        <v>441</v>
      </c>
      <c r="C15" s="43">
        <f>'System Analysis'!C68</f>
        <v>117.44428572078019</v>
      </c>
      <c r="D15" s="2" t="s">
        <v>128</v>
      </c>
    </row>
    <row r="16" spans="1:4">
      <c r="A16" s="4" t="s">
        <v>440</v>
      </c>
      <c r="B16" s="2" t="s">
        <v>439</v>
      </c>
      <c r="C16" s="43">
        <f>rslgm*dcacs</f>
        <v>112.45290357764704</v>
      </c>
      <c r="D16" s="2" t="s">
        <v>41</v>
      </c>
    </row>
    <row r="17" spans="1:4">
      <c r="A17" s="4"/>
      <c r="B17" s="2"/>
      <c r="C17" s="234"/>
      <c r="D17" s="2"/>
    </row>
    <row r="18" spans="1:4">
      <c r="A18" s="26" t="s">
        <v>438</v>
      </c>
      <c r="B18" s="2"/>
      <c r="C18" s="234"/>
      <c r="D18" s="2"/>
    </row>
    <row r="19" spans="1:4">
      <c r="A19" s="7" t="s">
        <v>435</v>
      </c>
      <c r="B19" s="2" t="s">
        <v>437</v>
      </c>
      <c r="C19" s="42">
        <f>(mcbp/mob)^3</f>
        <v>1.9902005167805237</v>
      </c>
      <c r="D19" s="2" t="s">
        <v>465</v>
      </c>
    </row>
    <row r="20" spans="1:4">
      <c r="A20" s="7" t="s">
        <v>434</v>
      </c>
      <c r="B20" s="2" t="s">
        <v>436</v>
      </c>
      <c r="C20" s="43">
        <f>mrp*10^6/Noms*Dolm</f>
        <v>46.069456406956569</v>
      </c>
      <c r="D20" s="2" t="s">
        <v>433</v>
      </c>
    </row>
    <row r="21" spans="1:4">
      <c r="A21" s="180"/>
    </row>
  </sheetData>
  <pageMargins left="0.7" right="0.7" top="0.75" bottom="0.75" header="0.3" footer="0.3"/>
  <pageSetup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99"/>
  <sheetViews>
    <sheetView topLeftCell="A4" zoomScale="191" zoomScaleNormal="179" workbookViewId="0">
      <selection activeCell="B19" sqref="B19:C19"/>
    </sheetView>
  </sheetViews>
  <sheetFormatPr baseColWidth="10" defaultColWidth="11" defaultRowHeight="16"/>
  <cols>
    <col min="1" max="1" width="42.1640625" customWidth="1"/>
    <col min="2" max="2" width="13" customWidth="1"/>
    <col min="3" max="3" width="11.33203125" customWidth="1"/>
    <col min="4" max="4" width="37.5" customWidth="1"/>
  </cols>
  <sheetData>
    <row r="1" spans="1:9">
      <c r="A1" s="258" t="s">
        <v>67</v>
      </c>
      <c r="B1" s="259"/>
      <c r="C1" s="260"/>
      <c r="D1" s="8"/>
      <c r="E1" s="8"/>
      <c r="F1" s="8"/>
      <c r="G1" s="8"/>
      <c r="H1" s="8"/>
      <c r="I1" s="8"/>
    </row>
    <row r="2" spans="1:9">
      <c r="A2" s="261" t="s">
        <v>68</v>
      </c>
      <c r="B2" s="262"/>
      <c r="C2" s="263"/>
      <c r="D2" s="8"/>
      <c r="E2" s="8"/>
      <c r="F2" s="8"/>
      <c r="G2" s="8"/>
      <c r="H2" s="8"/>
      <c r="I2" s="8"/>
    </row>
    <row r="3" spans="1:9">
      <c r="A3" s="261" t="s">
        <v>69</v>
      </c>
      <c r="B3" s="262"/>
      <c r="C3" s="263"/>
      <c r="D3" s="8"/>
    </row>
    <row r="4" spans="1:9">
      <c r="A4" s="264" t="s">
        <v>70</v>
      </c>
      <c r="B4" s="264"/>
      <c r="C4" s="264"/>
      <c r="D4" s="8"/>
    </row>
    <row r="5" spans="1:9" ht="17" thickBot="1">
      <c r="A5" s="257" t="s">
        <v>99</v>
      </c>
      <c r="B5" s="257"/>
      <c r="C5" s="257"/>
      <c r="D5" s="8"/>
    </row>
    <row r="6" spans="1:9">
      <c r="A6" s="9" t="s">
        <v>71</v>
      </c>
      <c r="B6" s="10"/>
      <c r="C6" s="10"/>
      <c r="D6" s="8"/>
    </row>
    <row r="7" spans="1:9">
      <c r="A7" s="9"/>
      <c r="B7" s="10" t="s">
        <v>155</v>
      </c>
      <c r="C7" s="10" t="s">
        <v>429</v>
      </c>
      <c r="D7" s="8"/>
    </row>
    <row r="8" spans="1:9">
      <c r="A8" s="13" t="s">
        <v>154</v>
      </c>
      <c r="B8" s="12">
        <f>tgm/4.45/25.4</f>
        <v>110.10401786323143</v>
      </c>
      <c r="C8" s="25">
        <f>Fgtg*R_2/4.45/25.4</f>
        <v>88.083214290585133</v>
      </c>
      <c r="D8" s="8"/>
    </row>
    <row r="9" spans="1:9">
      <c r="A9" s="40" t="s">
        <v>31</v>
      </c>
      <c r="B9" s="12">
        <f>tgm</f>
        <v>12445.057139081049</v>
      </c>
      <c r="C9" s="25">
        <f>Fgtg*R_2</f>
        <v>9956.0457112648382</v>
      </c>
      <c r="D9" s="8"/>
    </row>
    <row r="10" spans="1:9">
      <c r="A10" s="13" t="s">
        <v>72</v>
      </c>
      <c r="B10" s="14">
        <v>14.5</v>
      </c>
      <c r="C10" s="15">
        <f>B10*PI()/180</f>
        <v>0.2530727415391778</v>
      </c>
      <c r="D10" s="8"/>
    </row>
    <row r="11" spans="1:9">
      <c r="A11" s="13" t="s">
        <v>73</v>
      </c>
      <c r="B11" s="14">
        <v>16</v>
      </c>
      <c r="C11" s="171">
        <f>P</f>
        <v>16</v>
      </c>
      <c r="D11" s="8"/>
    </row>
    <row r="12" spans="1:9">
      <c r="A12" s="13" t="s">
        <v>513</v>
      </c>
      <c r="B12" s="172">
        <f>360/Np</f>
        <v>12</v>
      </c>
      <c r="C12" s="171">
        <f>360/C13</f>
        <v>7.5</v>
      </c>
      <c r="D12" s="8"/>
    </row>
    <row r="13" spans="1:9">
      <c r="A13" s="13" t="s">
        <v>74</v>
      </c>
      <c r="B13" s="14">
        <v>30</v>
      </c>
      <c r="C13" s="9">
        <v>48</v>
      </c>
      <c r="D13" s="8"/>
    </row>
    <row r="14" spans="1:9">
      <c r="A14" s="13" t="s">
        <v>75</v>
      </c>
      <c r="B14" s="14">
        <v>48</v>
      </c>
      <c r="C14" s="9">
        <v>48</v>
      </c>
      <c r="D14" s="8"/>
    </row>
    <row r="15" spans="1:9">
      <c r="A15" s="13" t="s">
        <v>76</v>
      </c>
      <c r="B15" s="14">
        <v>5.0000000000000001E-3</v>
      </c>
      <c r="C15" s="9">
        <v>5.0000000000000001E-3</v>
      </c>
      <c r="D15" s="8"/>
    </row>
    <row r="16" spans="1:9">
      <c r="A16" s="23" t="s">
        <v>538</v>
      </c>
      <c r="B16" s="222">
        <v>0.25</v>
      </c>
      <c r="C16" s="223">
        <f>w</f>
        <v>0.25</v>
      </c>
      <c r="D16" s="8"/>
    </row>
    <row r="17" spans="1:9">
      <c r="A17" s="13" t="s">
        <v>152</v>
      </c>
      <c r="B17" s="255" t="s">
        <v>543</v>
      </c>
      <c r="C17" s="256"/>
      <c r="D17" s="255" t="s">
        <v>515</v>
      </c>
      <c r="E17" s="256"/>
      <c r="F17" s="214" t="s">
        <v>502</v>
      </c>
    </row>
    <row r="18" spans="1:9">
      <c r="A18" s="13" t="s">
        <v>77</v>
      </c>
      <c r="B18" s="14">
        <v>60000</v>
      </c>
      <c r="C18" s="171">
        <f>sigp</f>
        <v>60000</v>
      </c>
      <c r="D18" s="8"/>
    </row>
    <row r="19" spans="1:9">
      <c r="A19" s="13" t="s">
        <v>153</v>
      </c>
      <c r="B19" s="255" t="str">
        <f>B17</f>
        <v>420 SS</v>
      </c>
      <c r="C19" s="256"/>
    </row>
    <row r="20" spans="1:9">
      <c r="A20" s="13" t="s">
        <v>78</v>
      </c>
      <c r="B20" s="172">
        <f>sigp</f>
        <v>60000</v>
      </c>
      <c r="C20" s="171">
        <f>sigg</f>
        <v>60000</v>
      </c>
      <c r="D20" s="33"/>
    </row>
    <row r="21" spans="1:9">
      <c r="A21" s="13" t="s">
        <v>79</v>
      </c>
      <c r="B21" s="14">
        <v>1.5</v>
      </c>
      <c r="C21" s="9">
        <v>1.5</v>
      </c>
      <c r="D21" s="8"/>
    </row>
    <row r="22" spans="1:9">
      <c r="A22" s="9" t="s">
        <v>80</v>
      </c>
      <c r="B22" s="10"/>
      <c r="C22" s="10"/>
      <c r="D22" s="8"/>
    </row>
    <row r="23" spans="1:9">
      <c r="A23" s="13" t="s">
        <v>81</v>
      </c>
      <c r="B23" s="11">
        <f>Ng/Np</f>
        <v>1.6</v>
      </c>
      <c r="C23" s="171">
        <f>C14/C13</f>
        <v>1</v>
      </c>
      <c r="D23" t="s">
        <v>162</v>
      </c>
    </row>
    <row r="24" spans="1:9">
      <c r="A24" s="13" t="s">
        <v>82</v>
      </c>
      <c r="B24" s="16">
        <f>Np/P</f>
        <v>1.875</v>
      </c>
      <c r="C24" s="171">
        <f>C13/C$11</f>
        <v>3</v>
      </c>
      <c r="D24" t="s">
        <v>161</v>
      </c>
    </row>
    <row r="25" spans="1:9">
      <c r="A25" s="13" t="s">
        <v>83</v>
      </c>
      <c r="B25" s="16">
        <f>Ng/P</f>
        <v>3</v>
      </c>
      <c r="C25" s="171">
        <f>C14/C$11</f>
        <v>3</v>
      </c>
      <c r="D25" t="s">
        <v>160</v>
      </c>
    </row>
    <row r="26" spans="1:9">
      <c r="A26" s="13" t="s">
        <v>84</v>
      </c>
      <c r="B26" s="11">
        <f>0.5*(Dp+Dg)+Ctol</f>
        <v>2.4424999999999999</v>
      </c>
      <c r="C26" s="171">
        <f>0.5*(C25+C24)+C15</f>
        <v>3.0049999999999999</v>
      </c>
      <c r="D26" t="s">
        <v>159</v>
      </c>
    </row>
    <row r="27" spans="1:9">
      <c r="A27" s="13" t="s">
        <v>85</v>
      </c>
      <c r="B27" s="17">
        <f>0.5*PI()/P</f>
        <v>9.8174770424681035E-2</v>
      </c>
      <c r="C27" s="173">
        <f>0.5*PI()/C11</f>
        <v>9.8174770424681035E-2</v>
      </c>
      <c r="D27" t="s">
        <v>158</v>
      </c>
      <c r="F27" s="8"/>
      <c r="G27" s="8"/>
      <c r="H27" s="8"/>
      <c r="I27" s="8"/>
    </row>
    <row r="28" spans="1:9">
      <c r="A28" s="13" t="s">
        <v>86</v>
      </c>
      <c r="B28" s="17">
        <f>1/P</f>
        <v>6.25E-2</v>
      </c>
      <c r="C28" s="173">
        <f>1/C11</f>
        <v>6.25E-2</v>
      </c>
      <c r="D28" t="s">
        <v>163</v>
      </c>
      <c r="F28" s="8"/>
      <c r="G28" s="8"/>
      <c r="H28" s="8"/>
      <c r="I28" s="8"/>
    </row>
    <row r="29" spans="1:9">
      <c r="A29" s="13" t="s">
        <v>87</v>
      </c>
      <c r="B29" s="17">
        <f>1.2/P+0.002</f>
        <v>7.6999999999999999E-2</v>
      </c>
      <c r="C29" s="171">
        <f>1.2/C11+0.002</f>
        <v>7.6999999999999999E-2</v>
      </c>
      <c r="D29" t="s">
        <v>164</v>
      </c>
      <c r="F29" s="8"/>
      <c r="G29" s="8"/>
      <c r="H29" s="8"/>
      <c r="I29" s="8"/>
    </row>
    <row r="30" spans="1:9">
      <c r="A30" s="13" t="s">
        <v>88</v>
      </c>
      <c r="B30" s="17">
        <f>0.2/P+0.002</f>
        <v>1.4500000000000001E-2</v>
      </c>
      <c r="C30" s="173">
        <f>0.2/C11+0.002</f>
        <v>1.4500000000000001E-2</v>
      </c>
      <c r="D30" t="s">
        <v>165</v>
      </c>
      <c r="E30" s="8"/>
      <c r="F30" s="8"/>
      <c r="G30" s="8"/>
      <c r="H30" s="8"/>
      <c r="I30" s="8"/>
    </row>
    <row r="31" spans="1:9">
      <c r="A31" s="23" t="s">
        <v>89</v>
      </c>
      <c r="B31" s="34">
        <f>T/(Dp/2)</f>
        <v>117.4442857207802</v>
      </c>
      <c r="C31" s="25">
        <f>C8/(C24/2)</f>
        <v>58.722142860390086</v>
      </c>
      <c r="D31" t="s">
        <v>166</v>
      </c>
      <c r="E31" s="8"/>
      <c r="F31" s="8"/>
      <c r="G31" s="8"/>
      <c r="H31" s="8"/>
      <c r="I31" s="8"/>
    </row>
    <row r="32" spans="1:9">
      <c r="A32" s="177" t="s">
        <v>430</v>
      </c>
      <c r="B32" s="178" t="str">
        <f>IF(Fp=Fgear/4.45, "YES", "Error")</f>
        <v>YES</v>
      </c>
      <c r="C32" s="25"/>
      <c r="E32" s="8"/>
      <c r="F32" s="8"/>
      <c r="G32" s="8"/>
      <c r="H32" s="8"/>
      <c r="I32" s="8"/>
    </row>
    <row r="33" spans="1:9">
      <c r="A33" s="23" t="s">
        <v>227</v>
      </c>
      <c r="B33" s="73">
        <f>Fp*w/w</f>
        <v>117.4442857207802</v>
      </c>
      <c r="C33" s="25">
        <f>C31*w/C16</f>
        <v>58.722142860390086</v>
      </c>
      <c r="E33" s="8"/>
      <c r="F33" s="8"/>
      <c r="G33" s="8"/>
      <c r="H33" s="8"/>
      <c r="I33" s="8"/>
    </row>
    <row r="34" spans="1:9">
      <c r="A34" s="23" t="s">
        <v>90</v>
      </c>
      <c r="B34" s="34">
        <f>Fp*TAN(f)</f>
        <v>30.373157469511153</v>
      </c>
      <c r="C34" s="25">
        <f>C31*TAN(f)</f>
        <v>15.186578734755573</v>
      </c>
      <c r="D34" t="s">
        <v>168</v>
      </c>
      <c r="E34" s="8"/>
      <c r="F34" s="8"/>
      <c r="G34" s="8"/>
      <c r="H34" s="8"/>
      <c r="I34" s="8"/>
    </row>
    <row r="35" spans="1:9">
      <c r="A35" s="23" t="s">
        <v>151</v>
      </c>
      <c r="B35" s="34">
        <f>SQRT(Fsp^2+Fp^2)</f>
        <v>121.30823938682803</v>
      </c>
      <c r="C35" s="25">
        <f>SQRT(C34^2+C31^2)</f>
        <v>60.654119693414003</v>
      </c>
      <c r="D35" t="s">
        <v>169</v>
      </c>
      <c r="E35" s="8"/>
      <c r="F35" s="8"/>
      <c r="G35" s="8"/>
      <c r="H35" s="8"/>
      <c r="I35" s="8"/>
    </row>
    <row r="36" spans="1:9">
      <c r="A36" s="9" t="s">
        <v>91</v>
      </c>
      <c r="B36" s="10"/>
      <c r="C36" s="10"/>
      <c r="D36" s="8"/>
      <c r="E36" s="8"/>
      <c r="F36" s="8"/>
      <c r="G36" s="8"/>
      <c r="I36" s="8"/>
    </row>
    <row r="37" spans="1:9">
      <c r="A37" s="13" t="s">
        <v>92</v>
      </c>
      <c r="B37" s="17">
        <f>w*tt</f>
        <v>2.4543692606170259E-2</v>
      </c>
      <c r="C37" s="174">
        <f>C16*C27</f>
        <v>2.4543692606170259E-2</v>
      </c>
      <c r="D37" s="8" t="s">
        <v>170</v>
      </c>
      <c r="E37" s="8"/>
      <c r="F37" s="8"/>
      <c r="G37" s="8"/>
      <c r="H37" s="8"/>
      <c r="I37" s="8"/>
    </row>
    <row r="38" spans="1:9">
      <c r="A38" s="13" t="s">
        <v>93</v>
      </c>
      <c r="B38" s="18">
        <f>w*tt^2/6</f>
        <v>4.0159523116411777E-4</v>
      </c>
      <c r="C38" s="174">
        <f>C16*C27^2/6</f>
        <v>4.0159523116411777E-4</v>
      </c>
      <c r="D38" s="8" t="s">
        <v>173</v>
      </c>
      <c r="E38" s="8"/>
      <c r="F38" s="8"/>
      <c r="G38" s="8"/>
      <c r="H38" s="8"/>
      <c r="I38" s="8"/>
    </row>
    <row r="39" spans="1:9">
      <c r="A39" s="13" t="s">
        <v>94</v>
      </c>
      <c r="B39" s="18">
        <f>w*tt^3/12</f>
        <v>1.9713259811591985E-5</v>
      </c>
      <c r="C39" s="174">
        <f>C16*C27^3/12</f>
        <v>1.9713259811591985E-5</v>
      </c>
      <c r="D39" s="8" t="s">
        <v>171</v>
      </c>
      <c r="E39" s="8"/>
      <c r="F39" s="8"/>
      <c r="G39" s="8"/>
      <c r="H39" s="8"/>
      <c r="I39" s="8"/>
    </row>
    <row r="40" spans="1:9">
      <c r="A40" s="13" t="s">
        <v>95</v>
      </c>
      <c r="B40" s="37">
        <f>tt/2</f>
        <v>4.9087385212340517E-2</v>
      </c>
      <c r="C40" s="175">
        <f>C27/2</f>
        <v>4.9087385212340517E-2</v>
      </c>
      <c r="D40" s="8" t="s">
        <v>172</v>
      </c>
      <c r="E40" s="8"/>
      <c r="F40" s="8"/>
      <c r="G40" s="8"/>
      <c r="H40" s="8"/>
      <c r="I40" s="8"/>
    </row>
    <row r="41" spans="1:9">
      <c r="A41" s="13"/>
      <c r="B41" s="248" t="s">
        <v>181</v>
      </c>
      <c r="C41" s="248"/>
      <c r="D41" s="249" t="s">
        <v>180</v>
      </c>
      <c r="E41" s="249"/>
      <c r="F41" s="8"/>
      <c r="G41" s="8"/>
      <c r="H41" s="8"/>
      <c r="I41" s="8"/>
    </row>
    <row r="42" spans="1:9">
      <c r="A42" s="9" t="s">
        <v>480</v>
      </c>
      <c r="B42" s="31" t="s">
        <v>179</v>
      </c>
      <c r="C42" s="31" t="s">
        <v>178</v>
      </c>
      <c r="D42" s="31" t="s">
        <v>179</v>
      </c>
      <c r="E42" s="31" t="s">
        <v>178</v>
      </c>
      <c r="F42" s="8"/>
      <c r="G42" s="8"/>
      <c r="H42" s="8"/>
      <c r="I42" s="8"/>
    </row>
    <row r="43" spans="1:9">
      <c r="A43" s="13" t="s">
        <v>96</v>
      </c>
      <c r="B43" s="12">
        <f>Fp/Ac</f>
        <v>4785.1106842519221</v>
      </c>
      <c r="C43" s="35">
        <f>(sigp/SQRT(3))/B43</f>
        <v>7.2393343513208892</v>
      </c>
      <c r="D43" s="25">
        <f>C31/C37</f>
        <v>2392.5553421259601</v>
      </c>
      <c r="E43" s="38">
        <f>(sigg/SQRT(3))/B43</f>
        <v>7.2393343513208892</v>
      </c>
      <c r="F43" s="8" t="s">
        <v>174</v>
      </c>
      <c r="G43" s="8"/>
      <c r="H43" s="8"/>
      <c r="I43" s="8"/>
    </row>
    <row r="44" spans="1:9">
      <c r="A44" s="13" t="s">
        <v>97</v>
      </c>
      <c r="B44" s="12">
        <f>Fp*Q/(w*I)</f>
        <v>9570.2213685038441</v>
      </c>
      <c r="C44" s="35">
        <f>sigp/SQRT(3)/B44</f>
        <v>3.6196671756604446</v>
      </c>
      <c r="D44" s="25">
        <f>C31*C38/(C16*C39)</f>
        <v>4785.1106842519212</v>
      </c>
      <c r="E44" s="38">
        <f>(sigg/SQRT(3))/B44</f>
        <v>3.6196671756604446</v>
      </c>
      <c r="F44" s="8" t="s">
        <v>175</v>
      </c>
      <c r="G44" s="8"/>
      <c r="H44" s="8"/>
      <c r="I44" s="8"/>
    </row>
    <row r="45" spans="1:9">
      <c r="A45" s="19" t="s">
        <v>98</v>
      </c>
      <c r="B45" s="20">
        <f>Fp*b*cc/I*scf</f>
        <v>33777.330874745006</v>
      </c>
      <c r="C45" s="36">
        <f>sigp/B45</f>
        <v>1.776339291653783</v>
      </c>
      <c r="D45" s="25">
        <f>C31*C29*C40/C39*C21</f>
        <v>16888.6654373725</v>
      </c>
      <c r="E45" s="38">
        <f>sigg/D45</f>
        <v>3.5526785833075669</v>
      </c>
      <c r="F45" s="8" t="s">
        <v>176</v>
      </c>
      <c r="G45" s="8"/>
      <c r="H45" s="8"/>
      <c r="I45" s="8"/>
    </row>
    <row r="46" spans="1:9">
      <c r="A46" s="24" t="s">
        <v>125</v>
      </c>
      <c r="B46" s="25">
        <f>SQRT(3*B43^2+B45^2)</f>
        <v>34779.30323919138</v>
      </c>
      <c r="C46" s="36">
        <f>sigp/B46</f>
        <v>1.7251639455614063</v>
      </c>
      <c r="D46" s="25">
        <f>SQRT(3*D43^2+D45^2)</f>
        <v>17389.651619595686</v>
      </c>
      <c r="E46" s="38">
        <f>sigg/D46</f>
        <v>3.4503278911228135</v>
      </c>
      <c r="F46" s="39" t="s">
        <v>177</v>
      </c>
    </row>
    <row r="47" spans="1:9">
      <c r="A47" s="24" t="s">
        <v>483</v>
      </c>
      <c r="B47" s="25"/>
      <c r="C47" s="36"/>
      <c r="D47" s="182"/>
      <c r="E47" s="184"/>
      <c r="F47" s="39"/>
    </row>
    <row r="48" spans="1:9">
      <c r="A48" s="191" t="s">
        <v>479</v>
      </c>
      <c r="B48" s="192">
        <f>qcyl/6.9*1000</f>
        <v>162346.32227252726</v>
      </c>
      <c r="C48" s="36" t="s">
        <v>6</v>
      </c>
      <c r="D48" s="314">
        <f>'geartoothcontact stress'!D19/6.9*1000</f>
        <v>116258.61612495607</v>
      </c>
      <c r="E48" s="36" t="s">
        <v>6</v>
      </c>
      <c r="F48" s="39"/>
    </row>
    <row r="49" spans="1:6">
      <c r="A49" s="191" t="s">
        <v>481</v>
      </c>
      <c r="B49" s="192">
        <f>0.3*B48</f>
        <v>48703.896681758175</v>
      </c>
      <c r="C49" s="36" t="s">
        <v>6</v>
      </c>
      <c r="D49" s="192">
        <f>0.3*D48</f>
        <v>34877.584837486822</v>
      </c>
      <c r="E49" s="36" t="s">
        <v>6</v>
      </c>
      <c r="F49" s="39"/>
    </row>
    <row r="50" spans="1:6">
      <c r="A50" s="191" t="s">
        <v>530</v>
      </c>
      <c r="B50" s="192">
        <f>1.7*B49</f>
        <v>82796.624358988891</v>
      </c>
      <c r="C50" s="36" t="s">
        <v>6</v>
      </c>
      <c r="D50" s="192">
        <f>1.7*D49</f>
        <v>59291.894223727599</v>
      </c>
      <c r="E50" s="36" t="s">
        <v>6</v>
      </c>
      <c r="F50" s="39"/>
    </row>
    <row r="51" spans="1:6">
      <c r="D51" s="182"/>
      <c r="E51" s="184"/>
      <c r="F51" s="39"/>
    </row>
    <row r="52" spans="1:6">
      <c r="D52" s="182"/>
      <c r="E52" s="184"/>
      <c r="F52" s="39"/>
    </row>
    <row r="53" spans="1:6">
      <c r="A53" s="181"/>
      <c r="B53" s="182"/>
      <c r="C53" s="36"/>
      <c r="D53" s="182"/>
      <c r="E53" s="184"/>
      <c r="F53" s="39"/>
    </row>
    <row r="54" spans="1:6" s="39" customFormat="1" ht="13">
      <c r="B54" s="182"/>
      <c r="C54" s="183"/>
      <c r="D54" s="182"/>
      <c r="E54" s="184"/>
    </row>
    <row r="55" spans="1:6" s="39" customFormat="1" ht="13">
      <c r="A55" s="195" t="s">
        <v>506</v>
      </c>
      <c r="B55" s="25"/>
      <c r="C55" s="36"/>
      <c r="D55" s="25"/>
      <c r="E55" s="184"/>
    </row>
    <row r="56" spans="1:6" s="39" customFormat="1" ht="13">
      <c r="A56" s="201" t="s">
        <v>501</v>
      </c>
      <c r="B56" s="197"/>
      <c r="C56" s="197" t="str">
        <f>B17</f>
        <v>420 SS</v>
      </c>
      <c r="D56" s="202"/>
      <c r="E56" s="184"/>
    </row>
    <row r="57" spans="1:6" s="39" customFormat="1" ht="13">
      <c r="A57" s="196" t="s">
        <v>503</v>
      </c>
      <c r="B57" s="187" t="s">
        <v>504</v>
      </c>
      <c r="C57" s="171">
        <f>sigp</f>
        <v>60000</v>
      </c>
      <c r="D57" s="213" t="s">
        <v>6</v>
      </c>
      <c r="E57" s="184"/>
    </row>
    <row r="58" spans="1:6" s="39" customFormat="1" ht="13">
      <c r="A58" s="250" t="s">
        <v>474</v>
      </c>
      <c r="B58" s="187" t="s">
        <v>500</v>
      </c>
      <c r="C58" s="194">
        <f>B46/sigp</f>
        <v>0.57965505398652295</v>
      </c>
      <c r="D58" s="207" t="s">
        <v>499</v>
      </c>
      <c r="E58" s="184"/>
    </row>
    <row r="59" spans="1:6" s="39" customFormat="1" ht="16" customHeight="1">
      <c r="A59" s="251"/>
      <c r="B59" s="187" t="s">
        <v>495</v>
      </c>
      <c r="C59" s="173">
        <f>w</f>
        <v>0.25</v>
      </c>
      <c r="D59" s="188" t="s">
        <v>505</v>
      </c>
      <c r="E59" s="184"/>
    </row>
    <row r="60" spans="1:6" s="39" customFormat="1" ht="16" customHeight="1">
      <c r="A60" s="251"/>
      <c r="B60" s="187" t="s">
        <v>473</v>
      </c>
      <c r="C60" s="210">
        <f>10^((B46-blife)/mlife)</f>
        <v>1106978.9235577227</v>
      </c>
      <c r="D60" s="188" t="s">
        <v>409</v>
      </c>
      <c r="E60" s="184"/>
    </row>
    <row r="61" spans="1:6" s="39" customFormat="1" ht="16" customHeight="1">
      <c r="A61" s="251"/>
      <c r="B61" s="39" t="s">
        <v>511</v>
      </c>
      <c r="C61" s="215">
        <f>ROUNDUP(Nodoms/B12,0)</f>
        <v>4</v>
      </c>
      <c r="D61" s="206" t="s">
        <v>510</v>
      </c>
      <c r="E61" s="184"/>
    </row>
    <row r="62" spans="1:6" s="39" customFormat="1" ht="17" customHeight="1" thickBot="1">
      <c r="A62" s="252"/>
      <c r="B62" s="199" t="s">
        <v>477</v>
      </c>
      <c r="C62" s="200">
        <f>numtpc*rotlifepin/Noms*Dolm</f>
        <v>64.061280298479332</v>
      </c>
      <c r="D62" s="204" t="s">
        <v>433</v>
      </c>
      <c r="E62" s="184"/>
    </row>
    <row r="63" spans="1:6" s="39" customFormat="1" ht="17" customHeight="1">
      <c r="A63" s="253" t="s">
        <v>475</v>
      </c>
      <c r="B63" s="197" t="s">
        <v>500</v>
      </c>
      <c r="C63" s="198">
        <f>D46/sigg</f>
        <v>0.28982752699326142</v>
      </c>
      <c r="D63" s="208" t="s">
        <v>499</v>
      </c>
      <c r="E63" s="184"/>
    </row>
    <row r="64" spans="1:6" s="39" customFormat="1" ht="16" customHeight="1">
      <c r="A64" s="253"/>
      <c r="B64" s="197" t="s">
        <v>496</v>
      </c>
      <c r="C64" s="224">
        <f>C16</f>
        <v>0.25</v>
      </c>
      <c r="D64" s="213" t="s">
        <v>58</v>
      </c>
      <c r="E64" s="184"/>
    </row>
    <row r="65" spans="1:6" s="39" customFormat="1" ht="16" customHeight="1">
      <c r="A65" s="253"/>
      <c r="B65" s="188" t="s">
        <v>476</v>
      </c>
      <c r="C65" s="209">
        <f>10^((D46-blife)/mlife)</f>
        <v>3327129278.4587207</v>
      </c>
      <c r="D65" s="188" t="s">
        <v>409</v>
      </c>
      <c r="E65" s="184"/>
    </row>
    <row r="66" spans="1:6" s="39" customFormat="1" ht="16" customHeight="1">
      <c r="A66" s="253"/>
      <c r="B66" s="187" t="s">
        <v>512</v>
      </c>
      <c r="C66" s="171">
        <f>ROUNDUP(Arcfing/C12,0)</f>
        <v>4</v>
      </c>
      <c r="D66" s="206" t="s">
        <v>510</v>
      </c>
      <c r="E66" s="184"/>
    </row>
    <row r="67" spans="1:6" s="39" customFormat="1" ht="17" customHeight="1" thickBot="1">
      <c r="A67" s="254"/>
      <c r="B67" s="204" t="s">
        <v>478</v>
      </c>
      <c r="C67" s="205">
        <f>numtfg*rotlifefing/Noms*Dolm</f>
        <v>192542.20361450932</v>
      </c>
      <c r="D67" s="204" t="s">
        <v>433</v>
      </c>
      <c r="E67" s="184"/>
    </row>
    <row r="68" spans="1:6" s="39" customFormat="1" ht="13">
      <c r="A68" s="203" t="s">
        <v>507</v>
      </c>
      <c r="C68" s="221" t="s">
        <v>547</v>
      </c>
      <c r="D68" s="298" t="s">
        <v>548</v>
      </c>
      <c r="E68" s="184"/>
    </row>
    <row r="69" spans="1:6" s="39" customFormat="1" ht="13">
      <c r="A69" s="203" t="s">
        <v>536</v>
      </c>
      <c r="C69" s="221" t="s">
        <v>537</v>
      </c>
      <c r="D69" s="298" t="s">
        <v>544</v>
      </c>
      <c r="E69" s="184"/>
      <c r="F69" s="315"/>
    </row>
    <row r="70" spans="1:6" s="39" customFormat="1" ht="13">
      <c r="A70" s="19" t="s">
        <v>508</v>
      </c>
      <c r="B70" s="213" t="s">
        <v>509</v>
      </c>
      <c r="C70" s="212">
        <f>'geartoothcontact stress'!C24</f>
        <v>0.38835582914002237</v>
      </c>
      <c r="D70" s="198">
        <f>'geartoothcontact stress'!D24</f>
        <v>0.98819823706212651</v>
      </c>
      <c r="E70" s="184"/>
    </row>
    <row r="71" spans="1:6" s="39" customFormat="1" ht="13">
      <c r="A71" s="247" t="s">
        <v>482</v>
      </c>
      <c r="B71" s="187" t="s">
        <v>497</v>
      </c>
      <c r="C71" s="25">
        <f>IF(C69="yes",numtpc*10^((B50-blifech)/mlifech),numtpc*10^((B50-blife)/mlife))</f>
        <v>874560869.20516455</v>
      </c>
      <c r="D71" s="316">
        <f>IF(D69="yes",numtfg*10^((D50-blifech)/mlifech),numtfg*10^((D50-blife)/mlife))</f>
        <v>55.421866334322083</v>
      </c>
      <c r="E71" s="188" t="s">
        <v>409</v>
      </c>
    </row>
    <row r="72" spans="1:6" s="39" customFormat="1" ht="13">
      <c r="A72" s="247"/>
      <c r="B72" s="187" t="s">
        <v>498</v>
      </c>
      <c r="C72" s="25">
        <f>C71/Noms*Dolm</f>
        <v>12652.790353083979</v>
      </c>
      <c r="D72" s="25">
        <f>D71/Noms*Dolm</f>
        <v>8.0182098284609505E-4</v>
      </c>
      <c r="E72" s="217" t="s">
        <v>433</v>
      </c>
    </row>
    <row r="73" spans="1:6" s="39" customFormat="1" ht="13">
      <c r="A73" s="181"/>
      <c r="B73" s="185"/>
      <c r="C73" s="186"/>
      <c r="D73" s="182"/>
      <c r="E73" s="184"/>
    </row>
    <row r="74" spans="1:6" s="39" customFormat="1" ht="13">
      <c r="A74" s="195" t="s">
        <v>526</v>
      </c>
      <c r="B74" s="190"/>
      <c r="C74" s="189"/>
      <c r="D74" s="25"/>
      <c r="E74" s="184"/>
    </row>
    <row r="75" spans="1:6" s="39" customFormat="1" ht="13">
      <c r="A75" s="24" t="s">
        <v>520</v>
      </c>
      <c r="B75" s="190" t="s">
        <v>522</v>
      </c>
      <c r="C75" s="225">
        <f>'geartoothcontact stress'!C56/25.4</f>
        <v>2.4957933449277533E-2</v>
      </c>
      <c r="D75" s="188" t="s">
        <v>58</v>
      </c>
      <c r="E75" s="184"/>
    </row>
    <row r="76" spans="1:6" s="39" customFormat="1" ht="13">
      <c r="A76" s="24" t="s">
        <v>514</v>
      </c>
      <c r="B76" s="190" t="s">
        <v>523</v>
      </c>
      <c r="C76" s="219">
        <v>2</v>
      </c>
      <c r="D76" s="188"/>
      <c r="E76" s="184"/>
    </row>
    <row r="77" spans="1:6" s="39" customFormat="1" ht="13">
      <c r="A77" s="24" t="s">
        <v>521</v>
      </c>
      <c r="B77" s="190"/>
      <c r="C77" s="225">
        <f>dcsm*mdf</f>
        <v>4.9915866898555067E-2</v>
      </c>
      <c r="D77" s="188" t="s">
        <v>58</v>
      </c>
      <c r="E77" s="184"/>
    </row>
    <row r="78" spans="1:6" s="39" customFormat="1" ht="13">
      <c r="A78" s="24" t="s">
        <v>516</v>
      </c>
      <c r="B78" s="190" t="s">
        <v>524</v>
      </c>
      <c r="C78" s="219">
        <v>45</v>
      </c>
      <c r="D78" s="188"/>
      <c r="E78" s="184"/>
    </row>
    <row r="79" spans="1:6" s="39" customFormat="1" ht="13">
      <c r="A79" s="24" t="s">
        <v>517</v>
      </c>
      <c r="B79" s="190" t="s">
        <v>525</v>
      </c>
      <c r="C79" s="189">
        <f>3.45*(1590/(122-C78))^2</f>
        <v>1471.0651037274413</v>
      </c>
      <c r="D79" s="188" t="s">
        <v>518</v>
      </c>
      <c r="E79" s="184"/>
    </row>
    <row r="80" spans="1:6" s="39" customFormat="1" ht="13">
      <c r="A80" s="24"/>
      <c r="B80" s="190" t="s">
        <v>519</v>
      </c>
      <c r="C80" s="189">
        <f>C79/6.9*1000</f>
        <v>213197.84111991903</v>
      </c>
      <c r="D80" s="188" t="s">
        <v>6</v>
      </c>
      <c r="E80" s="184"/>
    </row>
    <row r="81" spans="1:5" s="39" customFormat="1" ht="13">
      <c r="A81" s="181"/>
      <c r="B81" s="190" t="s">
        <v>553</v>
      </c>
      <c r="C81" s="189">
        <f>C20</f>
        <v>60000</v>
      </c>
      <c r="D81" s="25" t="s">
        <v>6</v>
      </c>
      <c r="E81" s="184"/>
    </row>
    <row r="82" spans="1:5" s="39" customFormat="1" ht="13"/>
    <row r="83" spans="1:5" s="39" customFormat="1" ht="13">
      <c r="A83" s="181"/>
    </row>
    <row r="84" spans="1:5" s="39" customFormat="1" ht="13">
      <c r="A84" s="218" t="s">
        <v>527</v>
      </c>
      <c r="B84" s="187"/>
      <c r="C84" s="187"/>
      <c r="D84" s="187"/>
    </row>
    <row r="85" spans="1:5" s="39" customFormat="1" ht="13">
      <c r="A85" s="196" t="s">
        <v>531</v>
      </c>
      <c r="B85" s="187"/>
      <c r="C85" s="171">
        <f>sigp</f>
        <v>60000</v>
      </c>
      <c r="D85" s="187"/>
    </row>
    <row r="86" spans="1:5" s="39" customFormat="1" ht="13">
      <c r="A86" s="196" t="s">
        <v>467</v>
      </c>
      <c r="B86" s="187"/>
      <c r="C86" s="193">
        <v>1</v>
      </c>
      <c r="D86" s="187"/>
    </row>
    <row r="87" spans="1:5" s="39" customFormat="1" ht="13">
      <c r="A87" s="196" t="s">
        <v>466</v>
      </c>
      <c r="B87" s="187"/>
      <c r="C87" s="171">
        <f>C85/2</f>
        <v>30000</v>
      </c>
      <c r="D87" s="187"/>
    </row>
    <row r="88" spans="1:5" s="39" customFormat="1" ht="13">
      <c r="A88" s="196" t="s">
        <v>468</v>
      </c>
      <c r="B88" s="187"/>
      <c r="C88" s="193">
        <v>7</v>
      </c>
      <c r="D88" s="187"/>
    </row>
    <row r="89" spans="1:5" s="39" customFormat="1" ht="13">
      <c r="A89" s="196" t="s">
        <v>469</v>
      </c>
      <c r="B89" s="187" t="s">
        <v>471</v>
      </c>
      <c r="C89" s="171">
        <f>(sigmax1-siginfinte)/(exp_1-exp_2)</f>
        <v>-5000</v>
      </c>
      <c r="D89" s="187"/>
    </row>
    <row r="90" spans="1:5" s="39" customFormat="1" ht="13">
      <c r="A90" s="196" t="s">
        <v>470</v>
      </c>
      <c r="B90" s="187" t="s">
        <v>472</v>
      </c>
      <c r="C90" s="171">
        <f>sigmax1-C89*C86</f>
        <v>65000</v>
      </c>
      <c r="D90" s="187"/>
    </row>
    <row r="91" spans="1:5" s="39" customFormat="1" ht="13"/>
    <row r="92" spans="1:5" s="39" customFormat="1" ht="13"/>
    <row r="93" spans="1:5">
      <c r="A93" s="218" t="s">
        <v>527</v>
      </c>
      <c r="B93" s="187"/>
      <c r="C93" s="187"/>
    </row>
    <row r="94" spans="1:5">
      <c r="A94" s="196" t="s">
        <v>532</v>
      </c>
      <c r="B94" s="187"/>
      <c r="C94" s="25">
        <f>sighardened</f>
        <v>213197.84111991903</v>
      </c>
    </row>
    <row r="95" spans="1:5">
      <c r="A95" s="196" t="s">
        <v>533</v>
      </c>
      <c r="B95" s="187"/>
      <c r="C95" s="193">
        <v>1</v>
      </c>
    </row>
    <row r="96" spans="1:5">
      <c r="A96" s="196" t="s">
        <v>534</v>
      </c>
      <c r="B96" s="187"/>
      <c r="C96" s="25">
        <f>C94/2</f>
        <v>106598.92055995952</v>
      </c>
    </row>
    <row r="97" spans="1:3">
      <c r="A97" s="196" t="s">
        <v>535</v>
      </c>
      <c r="B97" s="187"/>
      <c r="C97" s="193">
        <v>7</v>
      </c>
    </row>
    <row r="98" spans="1:3">
      <c r="A98" s="196" t="s">
        <v>469</v>
      </c>
      <c r="B98" s="187" t="s">
        <v>528</v>
      </c>
      <c r="C98" s="25" cm="1">
        <f t="array" ref="C98">(sigmax1ch-siginfintech)/(exp_1ch-exp_2ch)</f>
        <v>-17766.486759993251</v>
      </c>
    </row>
    <row r="99" spans="1:3">
      <c r="A99" s="196" t="s">
        <v>470</v>
      </c>
      <c r="B99" s="187" t="s">
        <v>529</v>
      </c>
      <c r="C99" s="25" cm="1">
        <f t="array" ref="C99">sigmax1ch-C98*C95</f>
        <v>230964.32787991228</v>
      </c>
    </row>
  </sheetData>
  <mergeCells count="13">
    <mergeCell ref="B17:C17"/>
    <mergeCell ref="B19:C19"/>
    <mergeCell ref="D17:E17"/>
    <mergeCell ref="A5:C5"/>
    <mergeCell ref="A1:C1"/>
    <mergeCell ref="A2:C2"/>
    <mergeCell ref="A3:C3"/>
    <mergeCell ref="A4:C4"/>
    <mergeCell ref="A71:A72"/>
    <mergeCell ref="B41:C41"/>
    <mergeCell ref="D41:E41"/>
    <mergeCell ref="A58:A62"/>
    <mergeCell ref="A63:A67"/>
  </mergeCells>
  <pageMargins left="0.7" right="0.7" top="0.75" bottom="0.75" header="0.3" footer="0.3"/>
  <pageSetup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8C136-9118-B343-AD02-E104071EFFC8}">
  <dimension ref="A1:K139"/>
  <sheetViews>
    <sheetView zoomScale="99" workbookViewId="0">
      <selection activeCell="E28" sqref="E28"/>
    </sheetView>
  </sheetViews>
  <sheetFormatPr baseColWidth="10" defaultColWidth="13.33203125" defaultRowHeight="13"/>
  <cols>
    <col min="1" max="1" width="4.6640625" style="8" customWidth="1"/>
    <col min="2" max="2" width="47.6640625" style="134" customWidth="1"/>
    <col min="3" max="4" width="12.5" style="8" customWidth="1"/>
    <col min="5" max="5" width="40.5" style="8" customWidth="1"/>
    <col min="6" max="7" width="13.6640625" style="8" customWidth="1"/>
    <col min="8" max="8" width="14.33203125" style="8" customWidth="1"/>
    <col min="9" max="9" width="14.5" style="8" customWidth="1"/>
    <col min="10" max="11" width="13.33203125" style="8"/>
    <col min="12" max="15" width="13.33203125" style="135"/>
    <col min="16" max="16" width="12.5" style="135" customWidth="1"/>
    <col min="17" max="17" width="14.1640625" style="135" customWidth="1"/>
    <col min="18" max="21" width="12.5" style="135" customWidth="1"/>
    <col min="22" max="16384" width="13.33203125" style="135"/>
  </cols>
  <sheetData>
    <row r="1" spans="2:7" ht="14" thickBot="1">
      <c r="B1" s="134" t="s">
        <v>372</v>
      </c>
    </row>
    <row r="2" spans="2:7">
      <c r="B2" s="267" t="s">
        <v>321</v>
      </c>
      <c r="C2" s="268"/>
      <c r="D2" s="288"/>
    </row>
    <row r="3" spans="2:7">
      <c r="B3" s="269" t="s">
        <v>322</v>
      </c>
      <c r="C3" s="270"/>
      <c r="D3" s="289"/>
    </row>
    <row r="4" spans="2:7" ht="13.25" customHeight="1">
      <c r="B4" s="269" t="s">
        <v>323</v>
      </c>
      <c r="C4" s="270"/>
      <c r="D4" s="289"/>
    </row>
    <row r="5" spans="2:7" ht="14" thickBot="1">
      <c r="B5" s="271" t="s">
        <v>99</v>
      </c>
      <c r="C5" s="272"/>
      <c r="D5" s="288"/>
    </row>
    <row r="6" spans="2:7" ht="14" customHeight="1">
      <c r="C6" s="134" t="s">
        <v>545</v>
      </c>
      <c r="D6" s="236" t="s">
        <v>546</v>
      </c>
    </row>
    <row r="7" spans="2:7">
      <c r="B7" s="136" t="s">
        <v>324</v>
      </c>
      <c r="C7" s="300">
        <f>0.35*25.4</f>
        <v>8.8899999999999988</v>
      </c>
      <c r="D7" s="138">
        <f>d_1</f>
        <v>8.8899999999999988</v>
      </c>
      <c r="E7" s="8" t="s">
        <v>428</v>
      </c>
    </row>
    <row r="8" spans="2:7">
      <c r="B8" s="136" t="s">
        <v>325</v>
      </c>
      <c r="C8" s="301">
        <f>d_1</f>
        <v>8.8899999999999988</v>
      </c>
      <c r="D8" s="138">
        <f>d_2</f>
        <v>8.8899999999999988</v>
      </c>
    </row>
    <row r="9" spans="2:7">
      <c r="B9" s="136" t="s">
        <v>326</v>
      </c>
      <c r="C9" s="302">
        <f>w*25.4</f>
        <v>6.35</v>
      </c>
      <c r="D9" s="312">
        <f>Gears!C16*25.4</f>
        <v>6.35</v>
      </c>
      <c r="F9" s="8" t="s">
        <v>551</v>
      </c>
      <c r="G9" s="8" t="s">
        <v>552</v>
      </c>
    </row>
    <row r="10" spans="2:7">
      <c r="B10" s="136" t="s">
        <v>327</v>
      </c>
      <c r="C10" s="303" cm="1">
        <f t="array" ref="C10">4.45*[2]!Fp</f>
        <v>509.56139467103498</v>
      </c>
      <c r="D10" s="211">
        <f>4.45*Gears!C31</f>
        <v>261.31353572873587</v>
      </c>
      <c r="E10" s="311" t="s">
        <v>550</v>
      </c>
      <c r="F10" s="220">
        <f>sighardened/1000</f>
        <v>213.19784111991902</v>
      </c>
      <c r="G10" s="299">
        <f>Gears!C81/1000</f>
        <v>60</v>
      </c>
    </row>
    <row r="11" spans="2:7">
      <c r="B11" s="136" t="s">
        <v>328</v>
      </c>
      <c r="C11" s="304">
        <v>200000</v>
      </c>
      <c r="D11" s="137">
        <f>Eone</f>
        <v>200000</v>
      </c>
      <c r="E11" s="235" t="s">
        <v>329</v>
      </c>
      <c r="F11" s="18">
        <f>1/((1-vone^2)/Eone+(1-vtwo^2)/Etwo)</f>
        <v>109182.22513374823</v>
      </c>
    </row>
    <row r="12" spans="2:7">
      <c r="B12" s="136" t="s">
        <v>330</v>
      </c>
      <c r="C12" s="305">
        <f>Eone</f>
        <v>200000</v>
      </c>
      <c r="D12" s="137">
        <f>Etwo</f>
        <v>200000</v>
      </c>
      <c r="E12" s="235" t="s">
        <v>331</v>
      </c>
      <c r="F12" s="18">
        <f>(1/((1-vone^2)/Eone))</f>
        <v>218364.45026749646</v>
      </c>
    </row>
    <row r="13" spans="2:7">
      <c r="B13" s="136" t="s">
        <v>332</v>
      </c>
      <c r="C13" s="306">
        <v>0.28999999999999998</v>
      </c>
      <c r="D13" s="172">
        <f>vone</f>
        <v>0.28999999999999998</v>
      </c>
      <c r="E13" s="235" t="s">
        <v>333</v>
      </c>
      <c r="F13" s="18">
        <f>(1/((1-vtwo^2)/Etwo))</f>
        <v>218364.45026749646</v>
      </c>
    </row>
    <row r="14" spans="2:7">
      <c r="B14" s="136" t="s">
        <v>334</v>
      </c>
      <c r="C14" s="306">
        <v>0.28999999999999998</v>
      </c>
      <c r="D14" s="172">
        <f>vtwo</f>
        <v>0.28999999999999998</v>
      </c>
      <c r="E14" s="135"/>
      <c r="F14" s="135"/>
    </row>
    <row r="15" spans="2:7">
      <c r="B15" s="136" t="s">
        <v>549</v>
      </c>
      <c r="C15" s="307" t="str">
        <f>Gears!C69</f>
        <v>yes</v>
      </c>
      <c r="D15" s="313" t="str">
        <f>Gears!D69</f>
        <v>no</v>
      </c>
      <c r="E15" s="135"/>
      <c r="F15" s="135"/>
    </row>
    <row r="16" spans="2:7">
      <c r="B16" s="136" t="s">
        <v>335</v>
      </c>
      <c r="C16" s="301">
        <f>IF(C15="yes",6.9*F10,6.9*G10)</f>
        <v>1471.0651037274413</v>
      </c>
      <c r="D16" s="138">
        <f>IF(D15="yes",6.9*F10,6.9*G10)</f>
        <v>414</v>
      </c>
    </row>
    <row r="17" spans="2:7">
      <c r="B17" s="136" t="s">
        <v>336</v>
      </c>
      <c r="C17" s="306">
        <v>100</v>
      </c>
      <c r="D17" s="172">
        <f>do</f>
        <v>100</v>
      </c>
    </row>
    <row r="18" spans="2:7">
      <c r="B18" s="136" t="s">
        <v>337</v>
      </c>
      <c r="C18" s="308">
        <f>2*SQRT(2*Ftoothcontact*d_1*d_2/(PI()*L*Ee*(d_1+d_2)))</f>
        <v>9.1209771025640388E-2</v>
      </c>
      <c r="D18" s="139">
        <f>2*SQRT(2*D10*d_1*d_2/(PI()*L*Ee*(d_1+d_2)))</f>
        <v>6.5316673689191973E-2</v>
      </c>
    </row>
    <row r="19" spans="2:7">
      <c r="B19" s="136" t="s">
        <v>338</v>
      </c>
      <c r="C19" s="309">
        <f>2*Ftoothcontact/(PI()*(Bgeartooth/2)*L)</f>
        <v>1120.1896236804382</v>
      </c>
      <c r="D19" s="20">
        <f>2*D10/(PI()*(D18/2)*L)</f>
        <v>802.18445126219683</v>
      </c>
      <c r="E19" s="140" t="s">
        <v>339</v>
      </c>
      <c r="F19" s="141"/>
      <c r="G19" s="142"/>
    </row>
    <row r="20" spans="2:7">
      <c r="B20" s="136" t="s">
        <v>340</v>
      </c>
      <c r="C20" s="149">
        <f>(2*Ftoothcontact)/(PI()*L*E1e)*(LN(2*d_1/b_1)-0.5)</f>
        <v>1.2787212422060996E-3</v>
      </c>
      <c r="D20" s="143">
        <f>(2*D10)/(PI()*L*E1e)*(LN(2*d_1/b_1)-0.5)</f>
        <v>6.5575448318261527E-4</v>
      </c>
      <c r="E20" s="144" t="s">
        <v>341</v>
      </c>
      <c r="F20" s="145">
        <f>SQRT(2*Ftoothcontact*d_1/(PI()*L*E1e))</f>
        <v>4.5604885512820194E-2</v>
      </c>
      <c r="G20" s="146"/>
    </row>
    <row r="21" spans="2:7">
      <c r="B21" s="141" t="s">
        <v>342</v>
      </c>
      <c r="C21" s="149">
        <f>IF(d_2&lt;1000,(2*Ftoothcontact)/(PI()*L*E2e)*(LN(2*d_2/b_2)-0.5),(2*Ftoothcontact)/(PI()*L*E2e)*(LN(2*do/b_1)-vtwo/(2*(1-vtwo))))</f>
        <v>1.2787212422060996E-3</v>
      </c>
      <c r="D21" s="143">
        <f>IF(d_2&lt;1000,(2*D10)/(PI()*L*E2e)*(LN(2*d_2/b_2)-0.5),(2*D10)/(PI()*L*E2e)*(LN(2*do/b_1)-vtwo/(2*(1-vtwo))))</f>
        <v>6.5575448318261527E-4</v>
      </c>
      <c r="E21" s="140" t="s">
        <v>343</v>
      </c>
      <c r="F21" s="141"/>
      <c r="G21" s="142"/>
    </row>
    <row r="22" spans="2:7">
      <c r="B22" s="141" t="s">
        <v>344</v>
      </c>
      <c r="C22" s="149">
        <f>defl_1+defl_2</f>
        <v>2.5574424844121992E-3</v>
      </c>
      <c r="D22" s="143">
        <f>D20+D21</f>
        <v>1.3115089663652305E-3</v>
      </c>
      <c r="E22" s="144" t="s">
        <v>345</v>
      </c>
      <c r="F22" s="145">
        <f>SQRT(2*Ftoothcontact*d_2/(PI()*L*E2e))</f>
        <v>4.5604885512820194E-2</v>
      </c>
      <c r="G22" s="146"/>
    </row>
    <row r="23" spans="2:7">
      <c r="B23" s="141" t="s">
        <v>346</v>
      </c>
      <c r="C23" s="310"/>
      <c r="D23" s="141"/>
    </row>
    <row r="24" spans="2:7">
      <c r="B24" s="19" t="s">
        <v>508</v>
      </c>
      <c r="C24" s="308">
        <f>0.3*qcyl/(sigult/1.7)</f>
        <v>0.38835582914002237</v>
      </c>
      <c r="D24" s="139">
        <f>0.3*D19/(D16/1.7)</f>
        <v>0.98819823706212651</v>
      </c>
    </row>
    <row r="25" spans="2:7">
      <c r="B25" s="265" t="s">
        <v>347</v>
      </c>
      <c r="C25" s="266"/>
      <c r="D25" s="293"/>
    </row>
    <row r="26" spans="2:7">
      <c r="B26" s="19" t="s">
        <v>348</v>
      </c>
      <c r="C26" s="14">
        <v>5.0000000000000001E-3</v>
      </c>
      <c r="D26" s="291"/>
    </row>
    <row r="27" spans="2:7">
      <c r="B27" s="19" t="s">
        <v>349</v>
      </c>
      <c r="C27" s="36">
        <f>SQRT(8*Ra*(d_1/2))</f>
        <v>0.42166337284616029</v>
      </c>
      <c r="D27" s="183"/>
    </row>
    <row r="36" spans="2:4">
      <c r="B36" s="265" t="s">
        <v>350</v>
      </c>
      <c r="C36" s="266"/>
      <c r="D36" s="293"/>
    </row>
    <row r="37" spans="2:4">
      <c r="B37" s="19" t="s">
        <v>351</v>
      </c>
      <c r="C37" s="138">
        <f>d_1/2</f>
        <v>4.4449999999999994</v>
      </c>
      <c r="D37" s="290"/>
    </row>
    <row r="38" spans="2:4">
      <c r="B38" s="19" t="s">
        <v>352</v>
      </c>
      <c r="C38" s="138">
        <f>d_1/2</f>
        <v>4.4449999999999994</v>
      </c>
      <c r="D38" s="290"/>
    </row>
    <row r="39" spans="2:4">
      <c r="B39" s="19" t="s">
        <v>353</v>
      </c>
      <c r="C39" s="147">
        <v>1000</v>
      </c>
      <c r="D39" s="294"/>
    </row>
    <row r="40" spans="2:4">
      <c r="B40" s="19" t="s">
        <v>354</v>
      </c>
      <c r="C40" s="147">
        <f>Rtwomaj</f>
        <v>1000</v>
      </c>
      <c r="D40" s="294"/>
    </row>
    <row r="41" spans="2:4">
      <c r="B41" s="19" t="s">
        <v>355</v>
      </c>
      <c r="C41" s="14">
        <v>0</v>
      </c>
      <c r="D41" s="291"/>
    </row>
    <row r="42" spans="2:4">
      <c r="B42" s="148" t="s">
        <v>356</v>
      </c>
      <c r="C42" s="149">
        <f>re*SQRT((1/Ronemaj-1/Ronemin)^2+(1/Rtwomaj-1/Rtwomin)^2+2*(1/Ronemaj-1/Ronemin)*(1/Rtwomaj-1/Rtwomin)*COS(2*phi*PI()/180))</f>
        <v>0</v>
      </c>
      <c r="D42" s="295"/>
    </row>
    <row r="43" spans="2:4">
      <c r="B43" s="148" t="s">
        <v>357</v>
      </c>
      <c r="C43" s="149">
        <f>ACOS(C42)</f>
        <v>1.5707963267948966</v>
      </c>
      <c r="D43" s="295"/>
    </row>
    <row r="44" spans="2:4">
      <c r="B44" s="148" t="s">
        <v>358</v>
      </c>
      <c r="C44" s="149">
        <f>1.939*2.71831^(-5.26*theta_1)+1.78*2.71831^(-1.09*theta_1)+0.723/theta_1+0.221</f>
        <v>1.0030145953603999</v>
      </c>
      <c r="D44" s="295"/>
    </row>
    <row r="45" spans="2:4">
      <c r="B45" s="148" t="s">
        <v>359</v>
      </c>
      <c r="C45" s="149">
        <f>35.228*2.71831^(-0.98*theta_1)-32.424*2.71831^(-1.0475*theta_1)+1.486*theta_1-2.634</f>
        <v>1.0014084128731353</v>
      </c>
      <c r="D45" s="295"/>
    </row>
    <row r="46" spans="2:4">
      <c r="B46" s="148" t="s">
        <v>360</v>
      </c>
      <c r="C46" s="149">
        <f>-0.214*2.71831^(-4.95*theta_1)-0.179*theta_1^2+0.555*theta_1+0.319</f>
        <v>0.74903730837702021</v>
      </c>
      <c r="D46" s="295"/>
    </row>
    <row r="47" spans="2:4">
      <c r="B47" s="19" t="s">
        <v>361</v>
      </c>
      <c r="C47" s="143">
        <f>1/(1/Ronemaj+1/Ronemin+1/Rtwomaj+1/Rtwomin)</f>
        <v>2.2126647053845652</v>
      </c>
      <c r="D47" s="295"/>
    </row>
    <row r="48" spans="2:4">
      <c r="B48" s="19" t="s">
        <v>362</v>
      </c>
      <c r="C48" s="150">
        <f>alpha*(1.5*Ftoothcontact*re/Ee)^0.333333</f>
        <v>0.25002974082820467</v>
      </c>
      <c r="D48" s="296"/>
    </row>
    <row r="49" spans="2:7">
      <c r="B49" s="19" t="s">
        <v>363</v>
      </c>
      <c r="C49" s="150">
        <f>beta*(1.5*Ftoothcontact*re/Ee)^0.333333</f>
        <v>0.24962935444013892</v>
      </c>
      <c r="D49" s="296"/>
    </row>
    <row r="50" spans="2:7">
      <c r="B50" s="19" t="s">
        <v>364</v>
      </c>
      <c r="C50" s="150">
        <f>3*Ftoothcontact/(2*PI()*ccgeartooth*dd)</f>
        <v>3898.0784901153597</v>
      </c>
      <c r="D50" s="296"/>
    </row>
    <row r="51" spans="2:7">
      <c r="B51" s="19" t="s">
        <v>365</v>
      </c>
      <c r="C51" s="139">
        <f>C50/C16</f>
        <v>2.6498341101547842</v>
      </c>
      <c r="D51" s="292"/>
    </row>
    <row r="52" spans="2:7">
      <c r="B52" s="19" t="s">
        <v>366</v>
      </c>
      <c r="C52" s="150"/>
      <c r="D52" s="296"/>
    </row>
    <row r="53" spans="2:7">
      <c r="B53" s="19" t="s">
        <v>367</v>
      </c>
      <c r="C53" s="36">
        <f>1000000*lambda*(2*Ftoothcontact^2/(3*re*Ee^2))^0.33333</f>
        <v>14024.309517192321</v>
      </c>
      <c r="D53" s="183"/>
    </row>
    <row r="54" spans="2:7">
      <c r="B54" s="19" t="s">
        <v>368</v>
      </c>
      <c r="C54" s="36">
        <f>C10/C53</f>
        <v>3.6334152069759054E-2</v>
      </c>
      <c r="D54" s="183"/>
    </row>
    <row r="55" spans="2:7">
      <c r="B55" s="19" t="s">
        <v>369</v>
      </c>
      <c r="C55" s="139">
        <f>ccgeartooth</f>
        <v>0.25002974082820467</v>
      </c>
      <c r="D55" s="292"/>
    </row>
    <row r="56" spans="2:7">
      <c r="B56" s="19" t="s">
        <v>370</v>
      </c>
      <c r="C56" s="151">
        <f>SQRT(2*(1+vone)/(7-2*vone))</f>
        <v>0.63393150961164935</v>
      </c>
      <c r="D56" s="297"/>
      <c r="E56" s="135"/>
      <c r="F56" s="135"/>
      <c r="G56" s="152"/>
    </row>
    <row r="57" spans="2:7">
      <c r="B57" s="19" t="s">
        <v>371</v>
      </c>
      <c r="C57" s="151">
        <f>(qgeartooth/2)*((1-2*vone)/2+2*(1+vone)*SQRT(2*(1+vone))/9)/sigult</f>
        <v>0.88829706222776017</v>
      </c>
      <c r="D57" s="297"/>
      <c r="E57" s="135"/>
      <c r="F57" s="135"/>
      <c r="G57" s="152"/>
    </row>
    <row r="58" spans="2:7">
      <c r="B58" s="135"/>
      <c r="C58" s="135"/>
      <c r="D58" s="135"/>
      <c r="E58" s="135"/>
      <c r="F58" s="135"/>
      <c r="G58" s="152"/>
    </row>
    <row r="59" spans="2:7">
      <c r="B59" s="135"/>
      <c r="C59" s="135"/>
      <c r="D59" s="135"/>
      <c r="E59" s="153"/>
      <c r="F59" s="152"/>
      <c r="G59" s="152"/>
    </row>
    <row r="60" spans="2:7">
      <c r="B60" s="135"/>
      <c r="C60" s="135"/>
      <c r="D60" s="135"/>
      <c r="E60" s="153"/>
      <c r="F60" s="152"/>
      <c r="G60" s="152"/>
    </row>
    <row r="61" spans="2:7">
      <c r="B61" s="135"/>
      <c r="C61" s="135"/>
      <c r="D61" s="135"/>
      <c r="E61" s="153"/>
      <c r="F61" s="152"/>
      <c r="G61" s="152"/>
    </row>
    <row r="62" spans="2:7">
      <c r="B62" s="135"/>
      <c r="C62" s="135"/>
      <c r="D62" s="135"/>
      <c r="E62" s="153"/>
      <c r="F62" s="152"/>
      <c r="G62" s="152"/>
    </row>
    <row r="63" spans="2:7">
      <c r="B63" s="135"/>
      <c r="C63" s="135"/>
      <c r="D63" s="135"/>
      <c r="E63" s="153"/>
      <c r="F63" s="152"/>
      <c r="G63" s="152"/>
    </row>
    <row r="64" spans="2:7">
      <c r="B64" s="135"/>
      <c r="C64" s="135"/>
      <c r="D64" s="135"/>
      <c r="E64" s="135"/>
      <c r="F64" s="135"/>
      <c r="G64" s="152"/>
    </row>
    <row r="65" spans="2:10">
      <c r="B65" s="135"/>
      <c r="C65" s="135"/>
      <c r="D65" s="135"/>
      <c r="E65" s="135"/>
      <c r="F65" s="135"/>
      <c r="G65" s="152"/>
    </row>
    <row r="66" spans="2:10">
      <c r="B66" s="135"/>
      <c r="C66" s="135"/>
      <c r="D66" s="135"/>
    </row>
    <row r="67" spans="2:10">
      <c r="B67" s="135"/>
      <c r="C67" s="135"/>
      <c r="D67" s="135"/>
    </row>
    <row r="68" spans="2:10" ht="16">
      <c r="B68" s="135"/>
      <c r="C68" s="135"/>
      <c r="D68" s="135"/>
      <c r="E68"/>
    </row>
    <row r="69" spans="2:10">
      <c r="B69" s="135"/>
      <c r="C69" s="135"/>
      <c r="D69" s="135"/>
    </row>
    <row r="70" spans="2:10">
      <c r="B70" s="135"/>
      <c r="C70" s="135"/>
      <c r="D70" s="135"/>
    </row>
    <row r="71" spans="2:10" ht="14">
      <c r="B71" s="135"/>
      <c r="C71" s="135"/>
      <c r="D71" s="135"/>
      <c r="F71" s="154"/>
    </row>
    <row r="72" spans="2:10">
      <c r="B72" s="135"/>
      <c r="C72" s="135"/>
      <c r="D72" s="135"/>
    </row>
    <row r="73" spans="2:10" ht="14">
      <c r="B73" s="135"/>
      <c r="C73" s="135"/>
      <c r="D73" s="135"/>
      <c r="E73" s="154"/>
    </row>
    <row r="74" spans="2:10">
      <c r="B74" s="135"/>
      <c r="C74" s="135"/>
      <c r="D74" s="135"/>
    </row>
    <row r="75" spans="2:10">
      <c r="B75" s="8"/>
    </row>
    <row r="76" spans="2:10">
      <c r="B76" s="8"/>
    </row>
    <row r="77" spans="2:10">
      <c r="B77" s="8"/>
    </row>
    <row r="78" spans="2:10">
      <c r="E78" s="155"/>
    </row>
    <row r="79" spans="2:10">
      <c r="B79" s="135"/>
      <c r="C79" s="135"/>
      <c r="D79" s="135"/>
    </row>
    <row r="80" spans="2:10">
      <c r="B80" s="135"/>
      <c r="C80" s="135"/>
      <c r="D80" s="135"/>
      <c r="E80" s="135"/>
      <c r="F80" s="135"/>
      <c r="G80" s="135"/>
      <c r="H80" s="135"/>
      <c r="I80" s="135"/>
      <c r="J80" s="135"/>
    </row>
    <row r="81" spans="2:10">
      <c r="B81" s="135"/>
      <c r="C81" s="135"/>
      <c r="D81" s="135"/>
      <c r="E81" s="135"/>
      <c r="F81" s="135"/>
      <c r="G81" s="135"/>
      <c r="H81" s="135"/>
      <c r="I81" s="135"/>
      <c r="J81" s="135"/>
    </row>
    <row r="82" spans="2:10">
      <c r="B82" s="135"/>
      <c r="C82" s="135"/>
      <c r="D82" s="135"/>
      <c r="E82" s="135"/>
      <c r="F82" s="135"/>
      <c r="G82" s="135"/>
      <c r="H82" s="135"/>
      <c r="I82" s="135"/>
      <c r="J82" s="135"/>
    </row>
    <row r="83" spans="2:10">
      <c r="B83" s="135"/>
      <c r="C83" s="135"/>
      <c r="D83" s="135"/>
      <c r="E83" s="135"/>
      <c r="F83" s="135"/>
      <c r="G83" s="135"/>
      <c r="H83" s="135"/>
      <c r="I83" s="135"/>
      <c r="J83" s="135"/>
    </row>
    <row r="84" spans="2:10">
      <c r="B84" s="135"/>
      <c r="C84" s="135"/>
      <c r="D84" s="135"/>
      <c r="E84" s="135"/>
      <c r="F84" s="135"/>
      <c r="G84" s="135"/>
      <c r="H84" s="135"/>
      <c r="I84" s="135"/>
      <c r="J84" s="135"/>
    </row>
    <row r="85" spans="2:10">
      <c r="B85" s="135"/>
      <c r="C85" s="135"/>
      <c r="D85" s="135"/>
      <c r="E85" s="135"/>
      <c r="F85" s="135"/>
      <c r="G85" s="135"/>
      <c r="H85" s="135"/>
      <c r="I85" s="135"/>
      <c r="J85" s="135"/>
    </row>
    <row r="86" spans="2:10">
      <c r="B86" s="135"/>
      <c r="C86" s="135"/>
      <c r="D86" s="135"/>
      <c r="E86" s="135"/>
      <c r="F86" s="135"/>
      <c r="G86" s="135"/>
      <c r="H86" s="135"/>
      <c r="I86" s="135"/>
      <c r="J86" s="135"/>
    </row>
    <row r="87" spans="2:10">
      <c r="B87" s="135"/>
      <c r="C87" s="135"/>
      <c r="D87" s="135"/>
      <c r="E87" s="135"/>
      <c r="F87" s="135"/>
      <c r="G87" s="135"/>
      <c r="H87" s="135"/>
      <c r="I87" s="135"/>
      <c r="J87" s="135"/>
    </row>
    <row r="88" spans="2:10">
      <c r="B88" s="135"/>
      <c r="C88" s="135"/>
      <c r="D88" s="135"/>
      <c r="E88" s="135"/>
      <c r="F88" s="135"/>
      <c r="G88" s="135"/>
      <c r="H88" s="135"/>
      <c r="I88" s="135"/>
      <c r="J88" s="135"/>
    </row>
    <row r="89" spans="2:10">
      <c r="B89" s="135"/>
      <c r="C89" s="135"/>
      <c r="D89" s="135"/>
      <c r="E89" s="135"/>
      <c r="F89" s="135"/>
      <c r="G89" s="135"/>
      <c r="H89" s="135"/>
      <c r="I89" s="135"/>
      <c r="J89" s="135"/>
    </row>
    <row r="90" spans="2:10">
      <c r="B90" s="135"/>
      <c r="C90" s="135"/>
      <c r="D90" s="135"/>
      <c r="E90" s="135"/>
      <c r="F90" s="135"/>
      <c r="G90" s="135"/>
      <c r="H90" s="135"/>
      <c r="I90" s="135"/>
      <c r="J90" s="135"/>
    </row>
    <row r="91" spans="2:10">
      <c r="B91" s="135"/>
      <c r="C91" s="135"/>
      <c r="D91" s="135"/>
      <c r="E91" s="135"/>
      <c r="F91" s="135"/>
      <c r="G91" s="135"/>
      <c r="H91" s="135"/>
      <c r="I91" s="135"/>
      <c r="J91" s="135"/>
    </row>
    <row r="92" spans="2:10">
      <c r="B92" s="135"/>
      <c r="C92" s="135"/>
      <c r="D92" s="135"/>
      <c r="E92" s="135"/>
      <c r="F92" s="135"/>
      <c r="G92" s="135"/>
      <c r="H92" s="135"/>
      <c r="I92" s="135"/>
      <c r="J92" s="135"/>
    </row>
    <row r="93" spans="2:10">
      <c r="B93" s="135"/>
      <c r="C93" s="135"/>
      <c r="D93" s="135"/>
      <c r="E93" s="135"/>
      <c r="F93" s="135"/>
      <c r="G93" s="135"/>
      <c r="H93" s="135"/>
      <c r="I93" s="135"/>
      <c r="J93" s="135"/>
    </row>
    <row r="94" spans="2:10">
      <c r="B94" s="135"/>
      <c r="C94" s="135"/>
      <c r="D94" s="135"/>
      <c r="E94" s="135"/>
      <c r="F94" s="135"/>
      <c r="G94" s="135"/>
      <c r="H94" s="135"/>
      <c r="I94" s="135"/>
      <c r="J94" s="135"/>
    </row>
    <row r="95" spans="2:10">
      <c r="B95" s="135"/>
      <c r="C95" s="135"/>
      <c r="D95" s="135"/>
      <c r="E95" s="135"/>
      <c r="F95" s="135"/>
      <c r="G95" s="135"/>
      <c r="H95" s="135"/>
      <c r="I95" s="135"/>
      <c r="J95" s="135"/>
    </row>
    <row r="96" spans="2:10">
      <c r="B96" s="135"/>
      <c r="C96" s="135"/>
      <c r="D96" s="135"/>
      <c r="E96" s="135"/>
      <c r="F96" s="135"/>
      <c r="G96" s="135"/>
      <c r="H96" s="135"/>
      <c r="I96" s="135"/>
      <c r="J96" s="135"/>
    </row>
    <row r="97" spans="2:10">
      <c r="B97" s="135"/>
      <c r="C97" s="135"/>
      <c r="D97" s="135"/>
      <c r="E97" s="135"/>
      <c r="F97" s="135"/>
      <c r="G97" s="135"/>
      <c r="H97" s="135"/>
      <c r="I97" s="135"/>
      <c r="J97" s="135"/>
    </row>
    <row r="98" spans="2:10">
      <c r="B98" s="135"/>
      <c r="C98" s="135"/>
      <c r="D98" s="135"/>
      <c r="E98" s="135"/>
      <c r="F98" s="135"/>
      <c r="G98" s="135"/>
      <c r="H98" s="135"/>
      <c r="I98" s="135"/>
      <c r="J98" s="135"/>
    </row>
    <row r="99" spans="2:10">
      <c r="B99" s="135"/>
      <c r="C99" s="135"/>
      <c r="D99" s="135"/>
      <c r="E99" s="135"/>
      <c r="F99" s="135"/>
      <c r="G99" s="135"/>
      <c r="H99" s="135"/>
      <c r="I99" s="135"/>
      <c r="J99" s="135"/>
    </row>
    <row r="100" spans="2:10">
      <c r="B100" s="135"/>
      <c r="C100" s="135"/>
      <c r="D100" s="135"/>
      <c r="E100" s="135"/>
      <c r="F100" s="135"/>
      <c r="G100" s="135"/>
      <c r="H100" s="135"/>
      <c r="I100" s="135"/>
      <c r="J100" s="135"/>
    </row>
    <row r="101" spans="2:10">
      <c r="B101" s="135"/>
      <c r="C101" s="135"/>
      <c r="D101" s="135"/>
      <c r="E101" s="135"/>
      <c r="F101" s="135"/>
      <c r="G101" s="135"/>
      <c r="H101" s="135"/>
      <c r="I101" s="135"/>
      <c r="J101" s="135"/>
    </row>
    <row r="102" spans="2:10">
      <c r="B102" s="135"/>
      <c r="C102" s="135"/>
      <c r="D102" s="135"/>
      <c r="E102" s="135"/>
      <c r="F102" s="135"/>
      <c r="G102" s="135"/>
      <c r="H102" s="135"/>
      <c r="I102" s="135"/>
      <c r="J102" s="135"/>
    </row>
    <row r="103" spans="2:10">
      <c r="B103" s="135"/>
      <c r="C103" s="135"/>
      <c r="D103" s="135"/>
      <c r="E103" s="135"/>
      <c r="F103" s="135"/>
      <c r="G103" s="135"/>
      <c r="H103" s="135"/>
      <c r="I103" s="135"/>
      <c r="J103" s="135"/>
    </row>
    <row r="104" spans="2:10">
      <c r="B104" s="135"/>
      <c r="C104" s="135"/>
      <c r="D104" s="135"/>
      <c r="E104" s="135"/>
      <c r="F104" s="135"/>
      <c r="G104" s="135"/>
      <c r="H104" s="135"/>
      <c r="I104" s="135"/>
      <c r="J104" s="135"/>
    </row>
    <row r="105" spans="2:10">
      <c r="B105" s="135"/>
      <c r="C105" s="135"/>
      <c r="D105" s="135"/>
      <c r="E105" s="135"/>
      <c r="F105" s="135"/>
      <c r="G105" s="135"/>
      <c r="H105" s="135"/>
      <c r="I105" s="135"/>
      <c r="J105" s="135"/>
    </row>
    <row r="106" spans="2:10">
      <c r="B106" s="135"/>
      <c r="C106" s="135"/>
      <c r="D106" s="135"/>
      <c r="E106" s="135"/>
      <c r="F106" s="135"/>
      <c r="G106" s="135"/>
      <c r="H106" s="135"/>
      <c r="I106" s="135"/>
      <c r="J106" s="135"/>
    </row>
    <row r="107" spans="2:10">
      <c r="B107" s="135"/>
      <c r="C107" s="135"/>
      <c r="D107" s="135"/>
      <c r="E107" s="135"/>
      <c r="F107" s="135"/>
      <c r="G107" s="135"/>
      <c r="H107" s="135"/>
      <c r="I107" s="135"/>
      <c r="J107" s="135"/>
    </row>
    <row r="108" spans="2:10">
      <c r="B108" s="135"/>
      <c r="C108" s="135"/>
      <c r="D108" s="135"/>
      <c r="E108" s="135"/>
      <c r="F108" s="135"/>
      <c r="G108" s="135"/>
      <c r="H108" s="135"/>
      <c r="I108" s="135"/>
      <c r="J108" s="135"/>
    </row>
    <row r="109" spans="2:10">
      <c r="B109" s="135"/>
      <c r="C109" s="135"/>
      <c r="D109" s="135"/>
      <c r="E109" s="135"/>
      <c r="F109" s="135"/>
      <c r="G109" s="135"/>
      <c r="H109" s="135"/>
      <c r="I109" s="135"/>
      <c r="J109" s="135"/>
    </row>
    <row r="110" spans="2:10">
      <c r="B110" s="135"/>
      <c r="C110" s="135"/>
      <c r="D110" s="135"/>
      <c r="E110" s="135"/>
      <c r="F110" s="135"/>
      <c r="G110" s="135"/>
      <c r="H110" s="135"/>
      <c r="I110" s="135"/>
      <c r="J110" s="135"/>
    </row>
    <row r="111" spans="2:10">
      <c r="B111" s="135"/>
      <c r="C111" s="135"/>
      <c r="D111" s="135"/>
      <c r="E111" s="135"/>
      <c r="F111" s="135"/>
      <c r="G111" s="135"/>
      <c r="H111" s="135"/>
      <c r="I111" s="135"/>
      <c r="J111" s="135"/>
    </row>
    <row r="112" spans="2:10">
      <c r="B112" s="135"/>
      <c r="C112" s="135"/>
      <c r="D112" s="135"/>
      <c r="E112" s="135"/>
      <c r="F112" s="135"/>
      <c r="G112" s="135"/>
      <c r="H112" s="135"/>
      <c r="I112" s="135"/>
      <c r="J112" s="135"/>
    </row>
    <row r="113" spans="2:10">
      <c r="B113" s="135"/>
      <c r="C113" s="135"/>
      <c r="D113" s="135"/>
      <c r="E113" s="135"/>
      <c r="F113" s="135"/>
      <c r="G113" s="135"/>
      <c r="H113" s="135"/>
      <c r="I113" s="135"/>
      <c r="J113" s="135"/>
    </row>
    <row r="114" spans="2:10">
      <c r="B114" s="135"/>
      <c r="C114" s="135"/>
      <c r="D114" s="135"/>
      <c r="E114" s="135"/>
      <c r="F114" s="135"/>
      <c r="G114" s="135"/>
      <c r="H114" s="135"/>
      <c r="I114" s="135"/>
      <c r="J114" s="135"/>
    </row>
    <row r="115" spans="2:10">
      <c r="B115" s="135"/>
      <c r="C115" s="135"/>
      <c r="D115" s="135"/>
      <c r="E115" s="135"/>
      <c r="F115" s="135"/>
      <c r="G115" s="135"/>
      <c r="H115" s="135"/>
      <c r="I115" s="135"/>
      <c r="J115" s="135"/>
    </row>
    <row r="116" spans="2:10">
      <c r="B116" s="135"/>
      <c r="C116" s="135"/>
      <c r="D116" s="135"/>
      <c r="E116" s="135"/>
      <c r="F116" s="135"/>
      <c r="G116" s="135"/>
      <c r="H116" s="135"/>
      <c r="I116" s="135"/>
      <c r="J116" s="135"/>
    </row>
    <row r="117" spans="2:10">
      <c r="B117" s="135"/>
      <c r="C117" s="135"/>
      <c r="D117" s="135"/>
      <c r="E117" s="135"/>
      <c r="F117" s="135"/>
      <c r="G117" s="135"/>
      <c r="H117" s="135"/>
      <c r="I117" s="135"/>
      <c r="J117" s="135"/>
    </row>
    <row r="118" spans="2:10">
      <c r="B118" s="135"/>
      <c r="C118" s="135"/>
      <c r="D118" s="135"/>
      <c r="E118" s="135"/>
      <c r="F118" s="135"/>
      <c r="G118" s="135"/>
      <c r="H118" s="135"/>
      <c r="I118" s="135"/>
      <c r="J118" s="135"/>
    </row>
    <row r="119" spans="2:10">
      <c r="B119" s="135"/>
      <c r="C119" s="135"/>
      <c r="D119" s="135"/>
      <c r="E119" s="135"/>
      <c r="F119" s="135"/>
      <c r="G119" s="135"/>
      <c r="H119" s="135"/>
      <c r="I119" s="135"/>
      <c r="J119" s="135"/>
    </row>
    <row r="120" spans="2:10">
      <c r="B120" s="135"/>
      <c r="C120" s="135"/>
      <c r="D120" s="135"/>
      <c r="E120" s="135"/>
      <c r="F120" s="135"/>
      <c r="G120" s="135"/>
      <c r="H120" s="135"/>
      <c r="I120" s="135"/>
      <c r="J120" s="135"/>
    </row>
    <row r="121" spans="2:10">
      <c r="B121" s="135"/>
      <c r="C121" s="135"/>
      <c r="D121" s="135"/>
      <c r="E121" s="135"/>
      <c r="F121" s="135"/>
      <c r="G121" s="135"/>
      <c r="H121" s="135"/>
      <c r="I121" s="135"/>
      <c r="J121" s="135"/>
    </row>
    <row r="122" spans="2:10">
      <c r="B122" s="135"/>
      <c r="C122" s="135"/>
      <c r="D122" s="135"/>
      <c r="E122" s="135"/>
      <c r="F122" s="135"/>
      <c r="G122" s="135"/>
      <c r="H122" s="135"/>
      <c r="I122" s="135"/>
      <c r="J122" s="135"/>
    </row>
    <row r="123" spans="2:10">
      <c r="B123" s="135"/>
      <c r="C123" s="135"/>
      <c r="D123" s="135"/>
      <c r="E123" s="135"/>
      <c r="F123" s="135"/>
      <c r="G123" s="135"/>
      <c r="H123" s="135"/>
      <c r="I123" s="135"/>
      <c r="J123" s="135"/>
    </row>
    <row r="124" spans="2:10">
      <c r="B124" s="135"/>
      <c r="C124" s="135"/>
      <c r="D124" s="135"/>
      <c r="E124" s="135"/>
      <c r="F124" s="135"/>
      <c r="G124" s="135"/>
      <c r="H124" s="135"/>
      <c r="I124" s="135"/>
      <c r="J124" s="135"/>
    </row>
    <row r="125" spans="2:10">
      <c r="B125" s="135"/>
      <c r="C125" s="135"/>
      <c r="D125" s="135"/>
      <c r="E125" s="135"/>
      <c r="F125" s="135"/>
      <c r="G125" s="135"/>
      <c r="H125" s="135"/>
      <c r="I125" s="135"/>
      <c r="J125" s="135"/>
    </row>
    <row r="126" spans="2:10">
      <c r="B126" s="135"/>
      <c r="C126" s="135"/>
      <c r="D126" s="135"/>
      <c r="E126" s="135"/>
      <c r="F126" s="135"/>
      <c r="G126" s="135"/>
      <c r="H126" s="135"/>
      <c r="I126" s="135"/>
      <c r="J126" s="135"/>
    </row>
    <row r="127" spans="2:10">
      <c r="B127" s="135"/>
      <c r="C127" s="135"/>
      <c r="D127" s="135"/>
      <c r="E127" s="135"/>
      <c r="F127" s="135"/>
      <c r="G127" s="135"/>
      <c r="H127" s="135"/>
      <c r="I127" s="135"/>
      <c r="J127" s="135"/>
    </row>
    <row r="128" spans="2:10">
      <c r="B128" s="135"/>
      <c r="C128" s="135"/>
      <c r="D128" s="135"/>
      <c r="E128" s="135"/>
      <c r="F128" s="135"/>
      <c r="G128" s="135"/>
      <c r="H128" s="135"/>
      <c r="I128" s="135"/>
      <c r="J128" s="135"/>
    </row>
    <row r="129" spans="2:10">
      <c r="B129" s="135"/>
      <c r="C129" s="135"/>
      <c r="D129" s="135"/>
      <c r="E129" s="135"/>
      <c r="F129" s="135"/>
      <c r="G129" s="135"/>
      <c r="H129" s="135"/>
      <c r="I129" s="135"/>
      <c r="J129" s="135"/>
    </row>
    <row r="130" spans="2:10">
      <c r="B130" s="135"/>
      <c r="C130" s="135"/>
      <c r="D130" s="135"/>
      <c r="E130" s="135"/>
      <c r="F130" s="135"/>
      <c r="G130" s="135"/>
      <c r="H130" s="135"/>
      <c r="I130" s="135"/>
      <c r="J130" s="135"/>
    </row>
    <row r="131" spans="2:10">
      <c r="B131" s="135"/>
      <c r="C131" s="135"/>
      <c r="D131" s="135"/>
      <c r="E131" s="135"/>
      <c r="F131" s="135"/>
      <c r="G131" s="135"/>
      <c r="H131" s="135"/>
      <c r="I131" s="135"/>
      <c r="J131" s="135"/>
    </row>
    <row r="132" spans="2:10">
      <c r="B132" s="135"/>
      <c r="C132" s="135"/>
      <c r="D132" s="135"/>
      <c r="E132" s="135"/>
      <c r="F132" s="135"/>
      <c r="G132" s="135"/>
      <c r="H132" s="135"/>
      <c r="I132" s="135"/>
      <c r="J132" s="135"/>
    </row>
    <row r="133" spans="2:10">
      <c r="B133" s="8"/>
      <c r="E133" s="135"/>
      <c r="F133" s="135"/>
      <c r="G133" s="135"/>
      <c r="H133" s="135"/>
      <c r="I133" s="135"/>
      <c r="J133" s="135"/>
    </row>
    <row r="134" spans="2:10">
      <c r="B134" s="8"/>
    </row>
    <row r="135" spans="2:10">
      <c r="B135" s="8"/>
    </row>
    <row r="136" spans="2:10">
      <c r="B136" s="8"/>
    </row>
    <row r="137" spans="2:10">
      <c r="B137" s="8"/>
    </row>
    <row r="138" spans="2:10">
      <c r="B138" s="8"/>
    </row>
    <row r="139" spans="2:10">
      <c r="B139" s="8"/>
    </row>
  </sheetData>
  <mergeCells count="6">
    <mergeCell ref="B36:C36"/>
    <mergeCell ref="B2:C2"/>
    <mergeCell ref="B3:C3"/>
    <mergeCell ref="B4:C4"/>
    <mergeCell ref="B5:C5"/>
    <mergeCell ref="B25:C25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DSMT4" shapeId="3073" r:id="rId3">
          <objectPr defaultSize="0" autoPict="0" r:id="rId4">
            <anchor moveWithCells="1" sizeWithCells="1">
              <from>
                <xdr:col>1</xdr:col>
                <xdr:colOff>12700</xdr:colOff>
                <xdr:row>82</xdr:row>
                <xdr:rowOff>0</xdr:rowOff>
              </from>
              <to>
                <xdr:col>2</xdr:col>
                <xdr:colOff>0</xdr:colOff>
                <xdr:row>96</xdr:row>
                <xdr:rowOff>76200</xdr:rowOff>
              </to>
            </anchor>
          </objectPr>
        </oleObject>
      </mc:Choice>
      <mc:Fallback>
        <oleObject progId="Equation.DSMT4" shapeId="3073" r:id="rId3"/>
      </mc:Fallback>
    </mc:AlternateContent>
    <mc:AlternateContent xmlns:mc="http://schemas.openxmlformats.org/markup-compatibility/2006">
      <mc:Choice Requires="x14">
        <oleObject progId="Equation.DSMT4" shapeId="3074" r:id="rId5">
          <objectPr defaultSize="0" autoPict="0" r:id="rId6">
            <anchor moveWithCells="1" sizeWithCells="1">
              <from>
                <xdr:col>4</xdr:col>
                <xdr:colOff>203200</xdr:colOff>
                <xdr:row>52</xdr:row>
                <xdr:rowOff>12700</xdr:rowOff>
              </from>
              <to>
                <xdr:col>6</xdr:col>
                <xdr:colOff>596900</xdr:colOff>
                <xdr:row>54</xdr:row>
                <xdr:rowOff>63500</xdr:rowOff>
              </to>
            </anchor>
          </objectPr>
        </oleObject>
      </mc:Choice>
      <mc:Fallback>
        <oleObject progId="Equation.DSMT4" shapeId="3074" r:id="rId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13941-F3BA-9C46-BA5B-91BEDB86DB16}">
  <dimension ref="A1:D13"/>
  <sheetViews>
    <sheetView zoomScale="98" workbookViewId="0">
      <selection activeCell="D13" sqref="A1:D13"/>
    </sheetView>
  </sheetViews>
  <sheetFormatPr baseColWidth="10" defaultRowHeight="16"/>
  <cols>
    <col min="1" max="1" width="46.6640625" customWidth="1"/>
    <col min="2" max="2" width="13.1640625" customWidth="1"/>
    <col min="3" max="3" width="21.5" customWidth="1"/>
    <col min="4" max="4" width="15" customWidth="1"/>
  </cols>
  <sheetData>
    <row r="1" spans="1:4">
      <c r="A1" s="2"/>
      <c r="B1" s="2"/>
      <c r="C1" s="72" t="s">
        <v>542</v>
      </c>
      <c r="D1" s="2"/>
    </row>
    <row r="2" spans="1:4">
      <c r="A2" s="2" t="s">
        <v>539</v>
      </c>
      <c r="B2" s="2" t="s">
        <v>259</v>
      </c>
      <c r="C2" s="216">
        <f>12.7/25.4</f>
        <v>0.5</v>
      </c>
      <c r="D2" s="2" t="s">
        <v>260</v>
      </c>
    </row>
    <row r="3" spans="1:4">
      <c r="A3" s="2"/>
      <c r="B3" s="2"/>
      <c r="C3" s="22">
        <f>25.4*hsd</f>
        <v>12.7</v>
      </c>
      <c r="D3" s="2" t="s">
        <v>36</v>
      </c>
    </row>
    <row r="4" spans="1:4">
      <c r="A4" s="2" t="s">
        <v>267</v>
      </c>
      <c r="B4" s="2" t="s">
        <v>268</v>
      </c>
      <c r="C4" s="22">
        <f>w</f>
        <v>0.25</v>
      </c>
      <c r="D4" s="2" t="s">
        <v>260</v>
      </c>
    </row>
    <row r="5" spans="1:4">
      <c r="A5" s="2"/>
      <c r="B5" s="2"/>
      <c r="C5" s="22">
        <f>25.4*wcf</f>
        <v>6.35</v>
      </c>
      <c r="D5" s="2" t="s">
        <v>36</v>
      </c>
    </row>
    <row r="6" spans="1:4">
      <c r="A6" s="2" t="s">
        <v>261</v>
      </c>
      <c r="B6" s="2" t="s">
        <v>189</v>
      </c>
      <c r="C6" s="226">
        <f>'System Analysis'!C98</f>
        <v>110.10401786323143</v>
      </c>
      <c r="D6" s="2" t="s">
        <v>41</v>
      </c>
    </row>
    <row r="7" spans="1:4">
      <c r="A7" s="2" t="s">
        <v>263</v>
      </c>
      <c r="B7" s="2" t="s">
        <v>264</v>
      </c>
      <c r="C7" s="49">
        <f>3*(1-COS(PI()/6))/(2*PI())</f>
        <v>6.3968157709341944E-2</v>
      </c>
      <c r="D7" s="2"/>
    </row>
    <row r="8" spans="1:4">
      <c r="A8" s="2" t="s">
        <v>265</v>
      </c>
      <c r="B8" s="2" t="s">
        <v>266</v>
      </c>
      <c r="C8" s="5">
        <v>3</v>
      </c>
      <c r="D8" s="2"/>
    </row>
    <row r="9" spans="1:4">
      <c r="A9" s="2" t="s">
        <v>262</v>
      </c>
      <c r="B9" s="2" t="s">
        <v>270</v>
      </c>
      <c r="C9" s="47">
        <f>ttbt/(Chexpres*Nhftt*wcf*(hsd/2)^2)</f>
        <v>36719.608607276983</v>
      </c>
      <c r="D9" s="2" t="s">
        <v>6</v>
      </c>
    </row>
    <row r="10" spans="1:4">
      <c r="A10" s="2"/>
      <c r="B10" s="2"/>
      <c r="C10" s="48">
        <f>hcpf*4.45/25.4^2</f>
        <v>253.27400691670684</v>
      </c>
      <c r="D10" s="2" t="s">
        <v>269</v>
      </c>
    </row>
    <row r="11" spans="1:4">
      <c r="A11" s="54" t="s">
        <v>540</v>
      </c>
      <c r="B11" s="2"/>
      <c r="C11" s="85">
        <f>sigp</f>
        <v>60000</v>
      </c>
      <c r="D11" s="54" t="s">
        <v>6</v>
      </c>
    </row>
    <row r="12" spans="1:4">
      <c r="A12" s="54" t="s">
        <v>541</v>
      </c>
      <c r="B12" s="2"/>
      <c r="C12" s="47">
        <f>10^((hcpf-blife)/mlife)</f>
        <v>452979.21888380835</v>
      </c>
      <c r="D12" s="54" t="s">
        <v>409</v>
      </c>
    </row>
    <row r="13" spans="1:4">
      <c r="A13" s="2"/>
      <c r="B13" s="2"/>
      <c r="C13" s="227">
        <f>C12/Noms*Dolm</f>
        <v>6.553518791721765</v>
      </c>
      <c r="D13" s="54" t="s">
        <v>433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B462D-57ED-2E46-A586-8E59B566F067}">
  <dimension ref="A3:G87"/>
  <sheetViews>
    <sheetView zoomScale="115" workbookViewId="0">
      <selection activeCell="B35" sqref="B35"/>
    </sheetView>
  </sheetViews>
  <sheetFormatPr baseColWidth="10" defaultRowHeight="16"/>
  <cols>
    <col min="2" max="2" width="48.5" customWidth="1"/>
    <col min="3" max="3" width="30.1640625" customWidth="1"/>
  </cols>
  <sheetData>
    <row r="3" spans="1:7">
      <c r="B3" t="s">
        <v>301</v>
      </c>
    </row>
    <row r="5" spans="1:7">
      <c r="A5" t="s">
        <v>296</v>
      </c>
    </row>
    <row r="6" spans="1:7" s="2" customFormat="1">
      <c r="A6" s="95">
        <v>1</v>
      </c>
      <c r="B6" s="5" t="s">
        <v>306</v>
      </c>
      <c r="D6" s="3"/>
      <c r="F6" s="30"/>
    </row>
    <row r="7" spans="1:7" s="2" customFormat="1">
      <c r="A7" s="95"/>
      <c r="B7" s="4" t="s">
        <v>46</v>
      </c>
      <c r="C7" s="2" t="s">
        <v>44</v>
      </c>
      <c r="D7" s="2">
        <v>16.600000000000001</v>
      </c>
      <c r="E7" s="2" t="s">
        <v>48</v>
      </c>
      <c r="F7" s="46">
        <f>D7*4.45*12/39.37</f>
        <v>22.515621031242066</v>
      </c>
      <c r="G7" s="2" t="s">
        <v>272</v>
      </c>
    </row>
    <row r="8" spans="1:7" s="2" customFormat="1">
      <c r="A8" s="95"/>
      <c r="B8" s="4" t="s">
        <v>43</v>
      </c>
      <c r="C8" s="2" t="s">
        <v>45</v>
      </c>
      <c r="D8" s="2">
        <v>75</v>
      </c>
      <c r="E8" s="2" t="s">
        <v>47</v>
      </c>
      <c r="F8" s="46">
        <f>D8*PI()/180</f>
        <v>1.3089969389957472</v>
      </c>
      <c r="G8" s="2" t="s">
        <v>273</v>
      </c>
    </row>
    <row r="9" spans="1:7" s="2" customFormat="1">
      <c r="A9" s="95"/>
      <c r="B9" s="93" t="s">
        <v>299</v>
      </c>
      <c r="C9" s="72" t="s">
        <v>300</v>
      </c>
      <c r="D9" s="2">
        <v>50</v>
      </c>
      <c r="E9" s="2" t="s">
        <v>128</v>
      </c>
      <c r="F9" s="86">
        <f>D9*4.45</f>
        <v>222.5</v>
      </c>
      <c r="G9" s="2" t="s">
        <v>23</v>
      </c>
    </row>
    <row r="10" spans="1:7" s="2" customFormat="1">
      <c r="A10" s="95"/>
      <c r="B10" s="4" t="s">
        <v>298</v>
      </c>
      <c r="F10" s="104">
        <f>F7*F8/4</f>
        <v>7.3682197523710338</v>
      </c>
      <c r="G10" s="2" t="s">
        <v>271</v>
      </c>
    </row>
    <row r="11" spans="1:7" s="90" customFormat="1">
      <c r="A11" s="95">
        <v>2</v>
      </c>
      <c r="B11" s="5" t="s">
        <v>424</v>
      </c>
      <c r="D11" s="91"/>
      <c r="F11" s="105"/>
    </row>
    <row r="12" spans="1:7" s="90" customFormat="1">
      <c r="A12" s="95"/>
      <c r="B12" s="93" t="s">
        <v>46</v>
      </c>
      <c r="C12" s="2" t="s">
        <v>44</v>
      </c>
      <c r="D12" s="170">
        <v>33</v>
      </c>
      <c r="E12" s="2" t="s">
        <v>48</v>
      </c>
      <c r="F12" s="46">
        <f>D12*4.45*12/39.37</f>
        <v>44.759969519939041</v>
      </c>
      <c r="G12" s="2" t="s">
        <v>272</v>
      </c>
    </row>
    <row r="13" spans="1:7" s="90" customFormat="1">
      <c r="A13" s="95"/>
      <c r="B13" s="93" t="s">
        <v>43</v>
      </c>
      <c r="C13" s="2" t="s">
        <v>45</v>
      </c>
      <c r="D13" s="2">
        <v>28</v>
      </c>
      <c r="E13" s="2" t="s">
        <v>47</v>
      </c>
      <c r="F13" s="46">
        <f>D13*PI()/180</f>
        <v>0.48869219055841229</v>
      </c>
      <c r="G13" s="2" t="s">
        <v>273</v>
      </c>
    </row>
    <row r="14" spans="1:7" s="90" customFormat="1">
      <c r="A14" s="95"/>
      <c r="B14" s="93" t="s">
        <v>299</v>
      </c>
      <c r="C14" s="72" t="s">
        <v>300</v>
      </c>
      <c r="D14" s="2">
        <v>50</v>
      </c>
      <c r="E14" s="2" t="s">
        <v>128</v>
      </c>
      <c r="F14" s="86">
        <f>D14*4.45</f>
        <v>222.5</v>
      </c>
      <c r="G14" s="2" t="s">
        <v>23</v>
      </c>
    </row>
    <row r="15" spans="1:7" s="90" customFormat="1" ht="15" customHeight="1">
      <c r="A15" s="95"/>
      <c r="B15" s="4" t="s">
        <v>298</v>
      </c>
      <c r="C15" s="2"/>
      <c r="D15" s="2"/>
      <c r="E15" s="2"/>
      <c r="F15" s="104">
        <f>F12*F13/4</f>
        <v>5.4684618885066936</v>
      </c>
      <c r="G15" s="2" t="s">
        <v>271</v>
      </c>
    </row>
    <row r="16" spans="1:7" s="100" customFormat="1" ht="15" customHeight="1">
      <c r="A16" s="98">
        <v>3</v>
      </c>
      <c r="B16" s="99" t="s">
        <v>423</v>
      </c>
      <c r="C16" s="30"/>
      <c r="D16" s="30"/>
      <c r="E16" s="30"/>
      <c r="F16" s="101"/>
    </row>
    <row r="17" spans="1:7" s="90" customFormat="1" ht="15" customHeight="1">
      <c r="A17" s="98"/>
      <c r="B17" s="109" t="s">
        <v>46</v>
      </c>
      <c r="C17" s="30" t="s">
        <v>44</v>
      </c>
      <c r="D17" s="110">
        <f>F17/4.45*39.37/12</f>
        <v>20.643445692883891</v>
      </c>
      <c r="E17" s="30" t="s">
        <v>48</v>
      </c>
      <c r="F17" s="106">
        <v>28</v>
      </c>
      <c r="G17" s="30" t="s">
        <v>272</v>
      </c>
    </row>
    <row r="18" spans="1:7" s="90" customFormat="1" ht="15" customHeight="1">
      <c r="A18" s="98"/>
      <c r="B18" s="109" t="s">
        <v>43</v>
      </c>
      <c r="C18" s="30" t="s">
        <v>45</v>
      </c>
      <c r="D18" s="30">
        <v>70</v>
      </c>
      <c r="E18" s="30" t="s">
        <v>47</v>
      </c>
      <c r="F18" s="46">
        <f>D18*PI()/180</f>
        <v>1.2217304763960306</v>
      </c>
      <c r="G18" s="30" t="s">
        <v>273</v>
      </c>
    </row>
    <row r="19" spans="1:7" s="90" customFormat="1" ht="15" customHeight="1">
      <c r="A19" s="98"/>
      <c r="B19" s="109" t="s">
        <v>299</v>
      </c>
      <c r="C19" s="102" t="s">
        <v>300</v>
      </c>
      <c r="D19" s="30">
        <f>F19/4.45</f>
        <v>44.943820224719097</v>
      </c>
      <c r="E19" s="30" t="s">
        <v>128</v>
      </c>
      <c r="F19" s="107">
        <v>200</v>
      </c>
      <c r="G19" s="30" t="s">
        <v>23</v>
      </c>
    </row>
    <row r="20" spans="1:7" s="90" customFormat="1" ht="15" customHeight="1">
      <c r="A20" s="98"/>
      <c r="B20" s="29" t="s">
        <v>298</v>
      </c>
      <c r="C20" s="30"/>
      <c r="D20" s="30"/>
      <c r="E20" s="30"/>
      <c r="F20" s="104">
        <f>F17*F18/4</f>
        <v>8.5521133347722138</v>
      </c>
      <c r="G20" s="30" t="s">
        <v>271</v>
      </c>
    </row>
    <row r="21" spans="1:7" s="90" customFormat="1" ht="15" customHeight="1">
      <c r="A21" s="95">
        <v>23</v>
      </c>
      <c r="B21" s="94" t="s">
        <v>297</v>
      </c>
      <c r="C21" s="2"/>
      <c r="D21" s="2"/>
      <c r="E21" s="2"/>
      <c r="F21" s="108"/>
      <c r="G21"/>
    </row>
    <row r="22" spans="1:7" s="90" customFormat="1" ht="15" customHeight="1">
      <c r="A22" s="95"/>
      <c r="B22" s="93" t="s">
        <v>46</v>
      </c>
      <c r="C22" s="2" t="s">
        <v>44</v>
      </c>
      <c r="D22" s="2">
        <v>255</v>
      </c>
      <c r="E22" s="2" t="s">
        <v>130</v>
      </c>
      <c r="F22" s="86">
        <f>D22/16*4.45*25.4/1000</f>
        <v>1.801415625</v>
      </c>
      <c r="G22" s="2" t="s">
        <v>31</v>
      </c>
    </row>
    <row r="23" spans="1:7" s="90" customFormat="1" ht="15" customHeight="1">
      <c r="A23" s="95"/>
      <c r="B23" s="93" t="s">
        <v>43</v>
      </c>
      <c r="C23" s="2" t="s">
        <v>45</v>
      </c>
      <c r="D23" s="2">
        <v>900</v>
      </c>
      <c r="E23" s="2" t="s">
        <v>47</v>
      </c>
      <c r="F23" s="46">
        <f>D23*PI()/180</f>
        <v>15.707963267948966</v>
      </c>
      <c r="G23" s="2" t="s">
        <v>273</v>
      </c>
    </row>
    <row r="24" spans="1:7" s="90" customFormat="1" ht="15" customHeight="1">
      <c r="A24" s="95"/>
      <c r="B24" s="93" t="s">
        <v>299</v>
      </c>
      <c r="C24" s="2"/>
      <c r="D24" s="96">
        <f>F24/4.45</f>
        <v>16.853932584269661</v>
      </c>
      <c r="E24" s="2" t="s">
        <v>128</v>
      </c>
      <c r="F24" s="107">
        <v>75</v>
      </c>
      <c r="G24" s="2" t="s">
        <v>23</v>
      </c>
    </row>
    <row r="25" spans="1:7" s="90" customFormat="1" ht="15" customHeight="1">
      <c r="A25" s="95"/>
      <c r="B25" s="4" t="s">
        <v>298</v>
      </c>
      <c r="C25" s="2"/>
      <c r="D25" s="2"/>
      <c r="E25" s="2"/>
      <c r="F25" s="104">
        <f>F22*F23/4</f>
        <v>7.074142616952332</v>
      </c>
      <c r="G25" s="2" t="s">
        <v>271</v>
      </c>
    </row>
    <row r="26" spans="1:7">
      <c r="A26" s="95">
        <v>34</v>
      </c>
      <c r="B26" s="94" t="s">
        <v>129</v>
      </c>
      <c r="C26" s="2"/>
      <c r="D26" s="2"/>
      <c r="E26" s="2"/>
      <c r="F26" s="108"/>
    </row>
    <row r="27" spans="1:7">
      <c r="A27" s="95"/>
      <c r="B27" s="93" t="s">
        <v>46</v>
      </c>
      <c r="C27" s="2" t="s">
        <v>44</v>
      </c>
      <c r="D27" s="2">
        <v>595</v>
      </c>
      <c r="E27" s="2" t="s">
        <v>130</v>
      </c>
      <c r="F27" s="104">
        <f>D27/16*4.45*25.4/1000</f>
        <v>4.2033031249999997</v>
      </c>
      <c r="G27" s="2" t="s">
        <v>272</v>
      </c>
    </row>
    <row r="28" spans="1:7">
      <c r="A28" s="95"/>
      <c r="B28" s="93" t="s">
        <v>43</v>
      </c>
      <c r="C28" s="2" t="s">
        <v>45</v>
      </c>
      <c r="D28" s="2">
        <v>720</v>
      </c>
      <c r="E28" s="2" t="s">
        <v>47</v>
      </c>
      <c r="F28" s="46">
        <f>D28*PI()/180</f>
        <v>12.566370614359172</v>
      </c>
      <c r="G28" s="2" t="s">
        <v>273</v>
      </c>
    </row>
    <row r="29" spans="1:7">
      <c r="A29" s="95"/>
      <c r="B29" s="93" t="s">
        <v>299</v>
      </c>
      <c r="C29" s="2"/>
      <c r="D29" s="96">
        <f>F29/4.45</f>
        <v>49.438202247191008</v>
      </c>
      <c r="E29" s="2" t="s">
        <v>128</v>
      </c>
      <c r="F29" s="107">
        <v>220</v>
      </c>
      <c r="G29" s="2" t="s">
        <v>23</v>
      </c>
    </row>
    <row r="30" spans="1:7">
      <c r="A30" s="95"/>
      <c r="B30" s="4" t="s">
        <v>298</v>
      </c>
      <c r="C30" s="2"/>
      <c r="D30" s="2"/>
      <c r="E30" s="2"/>
      <c r="F30" s="104">
        <f>F27*F28/4</f>
        <v>13.205066218311019</v>
      </c>
      <c r="G30" s="2" t="s">
        <v>271</v>
      </c>
    </row>
    <row r="31" spans="1:7">
      <c r="A31" s="95"/>
    </row>
    <row r="32" spans="1:7">
      <c r="A32" s="72"/>
    </row>
    <row r="33" spans="1:1">
      <c r="A33" s="72"/>
    </row>
    <row r="34" spans="1:1">
      <c r="A34" s="89"/>
    </row>
    <row r="79" spans="2:2">
      <c r="B79" s="1" t="s">
        <v>192</v>
      </c>
    </row>
    <row r="81" spans="2:2">
      <c r="B81" s="1" t="s">
        <v>193</v>
      </c>
    </row>
    <row r="84" spans="2:2">
      <c r="B84" t="s">
        <v>194</v>
      </c>
    </row>
    <row r="87" spans="2:2">
      <c r="B87" s="1" t="s">
        <v>195</v>
      </c>
    </row>
  </sheetData>
  <hyperlinks>
    <hyperlink ref="B79" r:id="rId1" xr:uid="{2C1EFF51-010A-4948-A75C-A3E6619A39CF}"/>
    <hyperlink ref="B81" r:id="rId2" xr:uid="{DA499FC6-D276-D64F-BCAC-A80B1A9C76AD}"/>
    <hyperlink ref="B87" r:id="rId3" xr:uid="{C3F007CB-A58B-6946-A53D-058270362923}"/>
  </hyperlinks>
  <pageMargins left="0.7" right="0.7" top="0.75" bottom="0.75" header="0.3" footer="0.3"/>
  <pageSetup orientation="portrait" horizontalDpi="0" verticalDpi="0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4"/>
  <sheetViews>
    <sheetView workbookViewId="0">
      <selection activeCell="D48" sqref="D48"/>
    </sheetView>
  </sheetViews>
  <sheetFormatPr baseColWidth="10" defaultColWidth="11" defaultRowHeight="16"/>
  <cols>
    <col min="1" max="1" width="60" customWidth="1"/>
    <col min="2" max="2" width="13.6640625" customWidth="1"/>
    <col min="3" max="3" width="11" style="52"/>
  </cols>
  <sheetData>
    <row r="1" spans="1:6">
      <c r="A1" s="52" t="s">
        <v>391</v>
      </c>
    </row>
    <row r="2" spans="1:6">
      <c r="A2" s="52"/>
    </row>
    <row r="3" spans="1:6">
      <c r="A3" t="s">
        <v>387</v>
      </c>
      <c r="B3" t="s">
        <v>64</v>
      </c>
      <c r="C3" s="81">
        <f>Fbear/2</f>
        <v>324.42076134787158</v>
      </c>
      <c r="D3" t="s">
        <v>23</v>
      </c>
    </row>
    <row r="4" spans="1:6">
      <c r="A4" t="s">
        <v>490</v>
      </c>
      <c r="B4" t="s">
        <v>65</v>
      </c>
      <c r="C4" s="80">
        <f>C5*25.4</f>
        <v>6.35</v>
      </c>
      <c r="D4" t="s">
        <v>36</v>
      </c>
    </row>
    <row r="5" spans="1:6">
      <c r="C5" s="52">
        <v>0.25</v>
      </c>
    </row>
    <row r="6" spans="1:6">
      <c r="A6" t="s">
        <v>488</v>
      </c>
      <c r="B6" t="s">
        <v>489</v>
      </c>
      <c r="C6" s="82">
        <f>C7*25.4</f>
        <v>1.1683999999999999</v>
      </c>
    </row>
    <row r="7" spans="1:6">
      <c r="C7" s="84">
        <v>4.5999999999999999E-2</v>
      </c>
    </row>
    <row r="8" spans="1:6">
      <c r="A8" t="s">
        <v>62</v>
      </c>
      <c r="B8" t="s">
        <v>63</v>
      </c>
      <c r="C8" s="80">
        <f>Dbear</f>
        <v>9.5249999999999986</v>
      </c>
      <c r="D8" t="s">
        <v>36</v>
      </c>
      <c r="F8" t="s">
        <v>382</v>
      </c>
    </row>
    <row r="9" spans="1:6">
      <c r="C9" s="80">
        <f>Dbearing/25.4</f>
        <v>0.37499999999999994</v>
      </c>
      <c r="D9" t="s">
        <v>260</v>
      </c>
    </row>
    <row r="10" spans="1:6">
      <c r="A10" t="s">
        <v>388</v>
      </c>
      <c r="B10" t="s">
        <v>373</v>
      </c>
      <c r="C10" s="52">
        <v>25</v>
      </c>
      <c r="D10" t="s">
        <v>36</v>
      </c>
    </row>
    <row r="11" spans="1:6">
      <c r="A11" t="s">
        <v>385</v>
      </c>
      <c r="B11" t="s">
        <v>25</v>
      </c>
      <c r="C11" s="81">
        <f>Ffinger</f>
        <v>71.267327926018879</v>
      </c>
    </row>
    <row r="12" spans="1:6">
      <c r="A12" t="s">
        <v>374</v>
      </c>
      <c r="B12" t="s">
        <v>375</v>
      </c>
      <c r="C12" s="81">
        <f>Ffinger*Ela</f>
        <v>1781.683198150472</v>
      </c>
      <c r="D12" t="s">
        <v>31</v>
      </c>
      <c r="E12" t="s">
        <v>384</v>
      </c>
    </row>
    <row r="13" spans="1:6">
      <c r="A13" t="s">
        <v>376</v>
      </c>
      <c r="B13" t="s">
        <v>377</v>
      </c>
      <c r="C13" s="80">
        <v>50</v>
      </c>
      <c r="D13" t="s">
        <v>36</v>
      </c>
      <c r="E13" t="s">
        <v>378</v>
      </c>
    </row>
    <row r="14" spans="1:6">
      <c r="A14" t="s">
        <v>379</v>
      </c>
      <c r="B14" t="s">
        <v>380</v>
      </c>
      <c r="C14" s="81">
        <f>tmof/sob</f>
        <v>35.63366396300944</v>
      </c>
      <c r="D14" t="s">
        <v>23</v>
      </c>
    </row>
    <row r="15" spans="1:6">
      <c r="A15" t="s">
        <v>389</v>
      </c>
      <c r="B15" t="s">
        <v>390</v>
      </c>
      <c r="C15" s="81">
        <f>fcob+Fbearing</f>
        <v>360.05442531088102</v>
      </c>
      <c r="D15" t="s">
        <v>23</v>
      </c>
    </row>
    <row r="16" spans="1:6">
      <c r="C16" s="81">
        <f>Fnetbear/4.45</f>
        <v>80.911106811433939</v>
      </c>
      <c r="D16" t="s">
        <v>186</v>
      </c>
    </row>
    <row r="17" spans="1:5">
      <c r="A17" t="s">
        <v>66</v>
      </c>
      <c r="B17" t="s">
        <v>381</v>
      </c>
      <c r="C17" s="83">
        <f>Fnetbear/((wbearing-flngbear)*Dbearing)</f>
        <v>7.2952349725858374</v>
      </c>
      <c r="D17" t="s">
        <v>7</v>
      </c>
      <c r="E17" t="s">
        <v>383</v>
      </c>
    </row>
    <row r="18" spans="1:5">
      <c r="C18" s="81">
        <f>sigbear/4.45*25.4^2</f>
        <v>1057.6615269468491</v>
      </c>
      <c r="D18" t="s">
        <v>6</v>
      </c>
    </row>
    <row r="20" spans="1:5">
      <c r="A20" t="s">
        <v>486</v>
      </c>
    </row>
    <row r="21" spans="1:5">
      <c r="A21" s="1" t="s">
        <v>487</v>
      </c>
    </row>
    <row r="22" spans="1:5">
      <c r="A22" t="s">
        <v>494</v>
      </c>
    </row>
    <row r="23" spans="1:5">
      <c r="A23" t="s">
        <v>491</v>
      </c>
      <c r="B23" t="s">
        <v>492</v>
      </c>
      <c r="C23" s="52">
        <v>12156</v>
      </c>
    </row>
    <row r="24" spans="1:5">
      <c r="B24" t="s">
        <v>493</v>
      </c>
      <c r="C24" s="81">
        <f>C23/24</f>
        <v>506.5</v>
      </c>
    </row>
  </sheetData>
  <phoneticPr fontId="24" type="noConversion"/>
  <hyperlinks>
    <hyperlink ref="A21" r:id="rId1" xr:uid="{0E3E550B-FFF9-4A45-AB17-DDC5AB547063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09F48-5ECC-6342-BF67-63C322871CCD}">
  <dimension ref="A5:N21"/>
  <sheetViews>
    <sheetView workbookViewId="0">
      <selection activeCell="B23" sqref="B23"/>
    </sheetView>
  </sheetViews>
  <sheetFormatPr baseColWidth="10" defaultRowHeight="16"/>
  <cols>
    <col min="1" max="1" width="82.5" customWidth="1"/>
  </cols>
  <sheetData>
    <row r="5" spans="1:14" s="2" customFormat="1">
      <c r="A5" s="276" t="s">
        <v>122</v>
      </c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8"/>
    </row>
    <row r="6" spans="1:14" s="2" customFormat="1">
      <c r="C6" s="5"/>
      <c r="I6" s="279" t="s">
        <v>115</v>
      </c>
      <c r="J6" s="280"/>
      <c r="K6" s="280"/>
      <c r="L6" s="280"/>
      <c r="M6" s="280"/>
      <c r="N6" s="281"/>
    </row>
    <row r="7" spans="1:14" s="2" customFormat="1">
      <c r="A7" s="2" t="s">
        <v>100</v>
      </c>
      <c r="B7" s="2" t="s">
        <v>101</v>
      </c>
      <c r="C7" s="5">
        <v>50</v>
      </c>
      <c r="D7" s="2" t="s">
        <v>102</v>
      </c>
      <c r="I7" s="282"/>
      <c r="J7" s="283"/>
      <c r="K7" s="283"/>
      <c r="L7" s="283"/>
      <c r="M7" s="283"/>
      <c r="N7" s="284"/>
    </row>
    <row r="8" spans="1:14" s="2" customFormat="1">
      <c r="A8" s="2" t="s">
        <v>103</v>
      </c>
      <c r="B8" s="2" t="s">
        <v>104</v>
      </c>
      <c r="C8" s="5">
        <v>100</v>
      </c>
      <c r="D8" s="2" t="s">
        <v>102</v>
      </c>
      <c r="I8" s="282"/>
      <c r="J8" s="283"/>
      <c r="K8" s="283"/>
      <c r="L8" s="283"/>
      <c r="M8" s="283"/>
      <c r="N8" s="284"/>
    </row>
    <row r="9" spans="1:14" s="2" customFormat="1">
      <c r="C9" s="5"/>
      <c r="E9" s="2" t="s">
        <v>113</v>
      </c>
      <c r="I9" s="282"/>
      <c r="J9" s="283"/>
      <c r="K9" s="283"/>
      <c r="L9" s="283"/>
      <c r="M9" s="283"/>
      <c r="N9" s="284"/>
    </row>
    <row r="10" spans="1:14" s="2" customFormat="1">
      <c r="A10" s="2" t="s">
        <v>111</v>
      </c>
      <c r="B10" s="2" t="s">
        <v>112</v>
      </c>
      <c r="C10" s="5">
        <v>3</v>
      </c>
      <c r="D10" s="2" t="s">
        <v>102</v>
      </c>
      <c r="E10" s="21">
        <f>C7/C10</f>
        <v>16.666666666666668</v>
      </c>
      <c r="I10" s="285"/>
      <c r="J10" s="286"/>
      <c r="K10" s="286"/>
      <c r="L10" s="286"/>
      <c r="M10" s="286"/>
      <c r="N10" s="287"/>
    </row>
    <row r="11" spans="1:14" s="2" customFormat="1">
      <c r="C11" s="5"/>
    </row>
    <row r="12" spans="1:14" s="2" customFormat="1">
      <c r="A12" s="2" t="s">
        <v>105</v>
      </c>
      <c r="C12" s="5">
        <v>8</v>
      </c>
      <c r="D12" s="2" t="s">
        <v>107</v>
      </c>
    </row>
    <row r="13" spans="1:14" s="2" customFormat="1">
      <c r="A13" s="2" t="s">
        <v>106</v>
      </c>
      <c r="C13" s="5">
        <v>40</v>
      </c>
      <c r="D13" s="2" t="s">
        <v>107</v>
      </c>
    </row>
    <row r="14" spans="1:14" s="2" customFormat="1">
      <c r="C14" s="5"/>
    </row>
    <row r="15" spans="1:14" s="2" customFormat="1">
      <c r="A15" s="2" t="s">
        <v>108</v>
      </c>
      <c r="B15" s="2" t="s">
        <v>108</v>
      </c>
      <c r="C15" s="5">
        <v>15</v>
      </c>
      <c r="D15" s="2" t="s">
        <v>102</v>
      </c>
      <c r="E15" s="273" t="s">
        <v>114</v>
      </c>
      <c r="F15" s="274"/>
      <c r="G15" s="274"/>
      <c r="H15" s="274"/>
      <c r="I15" s="274"/>
      <c r="J15" s="274"/>
      <c r="K15" s="274"/>
      <c r="L15" s="274"/>
      <c r="M15" s="275"/>
    </row>
    <row r="16" spans="1:14" s="2" customFormat="1">
      <c r="A16" s="2" t="s">
        <v>109</v>
      </c>
      <c r="B16" s="2" t="s">
        <v>110</v>
      </c>
      <c r="C16" s="5">
        <v>30</v>
      </c>
      <c r="D16" s="2" t="s">
        <v>102</v>
      </c>
    </row>
    <row r="17" spans="1:9" s="2" customFormat="1">
      <c r="A17" s="2" t="s">
        <v>117</v>
      </c>
      <c r="B17" s="2" t="s">
        <v>119</v>
      </c>
      <c r="C17" s="5">
        <v>15</v>
      </c>
      <c r="D17" s="2" t="s">
        <v>102</v>
      </c>
    </row>
    <row r="18" spans="1:9" s="2" customFormat="1">
      <c r="C18" s="5"/>
    </row>
    <row r="19" spans="1:9" s="2" customFormat="1">
      <c r="A19" s="2" t="s">
        <v>118</v>
      </c>
      <c r="B19" s="2" t="s">
        <v>120</v>
      </c>
      <c r="C19" s="5">
        <f>C17</f>
        <v>15</v>
      </c>
      <c r="D19" s="2" t="s">
        <v>102</v>
      </c>
    </row>
    <row r="20" spans="1:9" s="2" customFormat="1">
      <c r="A20" s="2" t="s">
        <v>124</v>
      </c>
      <c r="B20" s="2" t="s">
        <v>123</v>
      </c>
      <c r="C20" s="5">
        <v>30</v>
      </c>
      <c r="D20" s="2" t="s">
        <v>221</v>
      </c>
      <c r="E20" s="273"/>
      <c r="F20" s="274"/>
      <c r="G20" s="274"/>
      <c r="H20" s="274"/>
      <c r="I20" s="275"/>
    </row>
    <row r="21" spans="1:9" s="2" customFormat="1">
      <c r="C21" s="5"/>
    </row>
  </sheetData>
  <mergeCells count="4">
    <mergeCell ref="E20:I20"/>
    <mergeCell ref="A5:N5"/>
    <mergeCell ref="I6:N10"/>
    <mergeCell ref="E15:M1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A6"/>
  <sheetViews>
    <sheetView workbookViewId="0">
      <selection activeCell="B10" sqref="B10"/>
    </sheetView>
  </sheetViews>
  <sheetFormatPr baseColWidth="10" defaultColWidth="11" defaultRowHeight="16"/>
  <sheetData>
    <row r="2" spans="1:1">
      <c r="A2" s="1" t="s">
        <v>8</v>
      </c>
    </row>
    <row r="4" spans="1:1">
      <c r="A4" s="1" t="s">
        <v>9</v>
      </c>
    </row>
    <row r="6" spans="1:1">
      <c r="A6" s="1" t="s">
        <v>10</v>
      </c>
    </row>
  </sheetData>
  <hyperlinks>
    <hyperlink ref="A2" r:id="rId1" xr:uid="{00000000-0004-0000-0300-000000000000}"/>
    <hyperlink ref="A4" r:id="rId2" xr:uid="{00000000-0004-0000-0300-000001000000}"/>
    <hyperlink ref="A6" r:id="rId3" xr:uid="{00000000-0004-0000-0300-000002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173</vt:i4>
      </vt:variant>
    </vt:vector>
  </HeadingPairs>
  <TitlesOfParts>
    <vt:vector size="185" baseType="lpstr">
      <vt:lpstr>System Analysis</vt:lpstr>
      <vt:lpstr>gearbox life</vt:lpstr>
      <vt:lpstr>Gears</vt:lpstr>
      <vt:lpstr>geartoothcontact stress</vt:lpstr>
      <vt:lpstr>Hex drive</vt:lpstr>
      <vt:lpstr>Motor Options</vt:lpstr>
      <vt:lpstr>Bearings</vt:lpstr>
      <vt:lpstr>lung compliance notes</vt:lpstr>
      <vt:lpstr>refs</vt:lpstr>
      <vt:lpstr>Revisions</vt:lpstr>
      <vt:lpstr>Bag fixture by Vee</vt:lpstr>
      <vt:lpstr>Expected Tidal Volume</vt:lpstr>
      <vt:lpstr>Ac</vt:lpstr>
      <vt:lpstr>alpha</vt:lpstr>
      <vt:lpstr>Arcfing</vt:lpstr>
      <vt:lpstr>Areabag</vt:lpstr>
      <vt:lpstr>b</vt:lpstr>
      <vt:lpstr>b_1</vt:lpstr>
      <vt:lpstr>b_2</vt:lpstr>
      <vt:lpstr>Bag1eD</vt:lpstr>
      <vt:lpstr>Bag2eD</vt:lpstr>
      <vt:lpstr>beta</vt:lpstr>
      <vt:lpstr>Bgeartooth</vt:lpstr>
      <vt:lpstr>blife</vt:lpstr>
      <vt:lpstr>blifech</vt:lpstr>
      <vt:lpstr>bpdavg</vt:lpstr>
      <vt:lpstr>cc</vt:lpstr>
      <vt:lpstr>ccgeartooth</vt:lpstr>
      <vt:lpstr>Chexpres</vt:lpstr>
      <vt:lpstr>cmh2O</vt:lpstr>
      <vt:lpstr>cmH2Omax</vt:lpstr>
      <vt:lpstr>csets</vt:lpstr>
      <vt:lpstr>Ctol</vt:lpstr>
      <vt:lpstr>d_1</vt:lpstr>
      <vt:lpstr>d_2</vt:lpstr>
      <vt:lpstr>Dbag</vt:lpstr>
      <vt:lpstr>dbbcl</vt:lpstr>
      <vt:lpstr>Dbear</vt:lpstr>
      <vt:lpstr>Dbearing</vt:lpstr>
      <vt:lpstr>dcacs</vt:lpstr>
      <vt:lpstr>dcagbf</vt:lpstr>
      <vt:lpstr>dcsm</vt:lpstr>
      <vt:lpstr>dd</vt:lpstr>
      <vt:lpstr>dddgbg</vt:lpstr>
      <vt:lpstr>defl_1</vt:lpstr>
      <vt:lpstr>defl_2</vt:lpstr>
      <vt:lpstr>Dg</vt:lpstr>
      <vt:lpstr>Dgear</vt:lpstr>
      <vt:lpstr>do</vt:lpstr>
      <vt:lpstr>Dolm</vt:lpstr>
      <vt:lpstr>Dp</vt:lpstr>
      <vt:lpstr>Dpinion</vt:lpstr>
      <vt:lpstr>drlc</vt:lpstr>
      <vt:lpstr>E1e</vt:lpstr>
      <vt:lpstr>E2e</vt:lpstr>
      <vt:lpstr>Ee</vt:lpstr>
      <vt:lpstr>Ela</vt:lpstr>
      <vt:lpstr>Eone</vt:lpstr>
      <vt:lpstr>etamech</vt:lpstr>
      <vt:lpstr>Etwo</vt:lpstr>
      <vt:lpstr>exp_1</vt:lpstr>
      <vt:lpstr>exp_1ch</vt:lpstr>
      <vt:lpstr>exp_2</vt:lpstr>
      <vt:lpstr>exp_2ch</vt:lpstr>
      <vt:lpstr>expr</vt:lpstr>
      <vt:lpstr>f</vt:lpstr>
      <vt:lpstr>Fbag</vt:lpstr>
      <vt:lpstr>Fbear</vt:lpstr>
      <vt:lpstr>Fbearing</vt:lpstr>
      <vt:lpstr>Fbx</vt:lpstr>
      <vt:lpstr>Fby</vt:lpstr>
      <vt:lpstr>fcob</vt:lpstr>
      <vt:lpstr>Ffinger</vt:lpstr>
      <vt:lpstr>Fgear</vt:lpstr>
      <vt:lpstr>Fgtg</vt:lpstr>
      <vt:lpstr>flngbear</vt:lpstr>
      <vt:lpstr>Fnetbear</vt:lpstr>
      <vt:lpstr>Fp</vt:lpstr>
      <vt:lpstr>Fperbear</vt:lpstr>
      <vt:lpstr>Fradmaxm</vt:lpstr>
      <vt:lpstr>Fsp</vt:lpstr>
      <vt:lpstr>Ftoothcontact</vt:lpstr>
      <vt:lpstr>gosn</vt:lpstr>
      <vt:lpstr>hcpf</vt:lpstr>
      <vt:lpstr>hsd</vt:lpstr>
      <vt:lpstr>I</vt:lpstr>
      <vt:lpstr>ier</vt:lpstr>
      <vt:lpstr>insp</vt:lpstr>
      <vt:lpstr>L</vt:lpstr>
      <vt:lpstr>lambda</vt:lpstr>
      <vt:lpstr>Lbag</vt:lpstr>
      <vt:lpstr>mcbp</vt:lpstr>
      <vt:lpstr>mdf</vt:lpstr>
      <vt:lpstr>mlife</vt:lpstr>
      <vt:lpstr>mlifech</vt:lpstr>
      <vt:lpstr>mob</vt:lpstr>
      <vt:lpstr>mrp</vt:lpstr>
      <vt:lpstr>mu</vt:lpstr>
      <vt:lpstr>Nema34Tas</vt:lpstr>
      <vt:lpstr>NemaTas</vt:lpstr>
      <vt:lpstr>Ng</vt:lpstr>
      <vt:lpstr>Nhftt</vt:lpstr>
      <vt:lpstr>NMr</vt:lpstr>
      <vt:lpstr>NMsize</vt:lpstr>
      <vt:lpstr>Nodoms</vt:lpstr>
      <vt:lpstr>Noms</vt:lpstr>
      <vt:lpstr>Np</vt:lpstr>
      <vt:lpstr>numtfg</vt:lpstr>
      <vt:lpstr>numtpc</vt:lpstr>
      <vt:lpstr>ovszf</vt:lpstr>
      <vt:lpstr>P</vt:lpstr>
      <vt:lpstr>pap</vt:lpstr>
      <vt:lpstr>papeta</vt:lpstr>
      <vt:lpstr>Pbaginhale</vt:lpstr>
      <vt:lpstr>pbagmm</vt:lpstr>
      <vt:lpstr>pcr</vt:lpstr>
      <vt:lpstr>PFPL</vt:lpstr>
      <vt:lpstr>PFPLr</vt:lpstr>
      <vt:lpstr>phi</vt:lpstr>
      <vt:lpstr>pinioncsr</vt:lpstr>
      <vt:lpstr>pinionfw</vt:lpstr>
      <vt:lpstr>pinionhertzdays</vt:lpstr>
      <vt:lpstr>pinionhertzfl</vt:lpstr>
      <vt:lpstr>pomsl</vt:lpstr>
      <vt:lpstr>Q</vt:lpstr>
      <vt:lpstr>qcyl</vt:lpstr>
      <vt:lpstr>qgeartooth</vt:lpstr>
      <vt:lpstr>R_1</vt:lpstr>
      <vt:lpstr>R_2</vt:lpstr>
      <vt:lpstr>Ra</vt:lpstr>
      <vt:lpstr>Rch</vt:lpstr>
      <vt:lpstr>re</vt:lpstr>
      <vt:lpstr>Resprate</vt:lpstr>
      <vt:lpstr>resprateavg</vt:lpstr>
      <vt:lpstr>Rgear</vt:lpstr>
      <vt:lpstr>Ronemaj</vt:lpstr>
      <vt:lpstr>Ronemin</vt:lpstr>
      <vt:lpstr>rotlifefing</vt:lpstr>
      <vt:lpstr>rotlifepin</vt:lpstr>
      <vt:lpstr>Rpmfing</vt:lpstr>
      <vt:lpstr>Rpmgmr</vt:lpstr>
      <vt:lpstr>rslgm</vt:lpstr>
      <vt:lpstr>Rtwomaj</vt:lpstr>
      <vt:lpstr>Rtwomin</vt:lpstr>
      <vt:lpstr>sbb</vt:lpstr>
      <vt:lpstr>scf</vt:lpstr>
      <vt:lpstr>sigbear</vt:lpstr>
      <vt:lpstr>sigg</vt:lpstr>
      <vt:lpstr>sighardened</vt:lpstr>
      <vt:lpstr>sighardmpa</vt:lpstr>
      <vt:lpstr>siginfinte</vt:lpstr>
      <vt:lpstr>siginfintech</vt:lpstr>
      <vt:lpstr>sigmax1</vt:lpstr>
      <vt:lpstr>sigmax1ch</vt:lpstr>
      <vt:lpstr>sigp</vt:lpstr>
      <vt:lpstr>sigult</vt:lpstr>
      <vt:lpstr>sob</vt:lpstr>
      <vt:lpstr>spb</vt:lpstr>
      <vt:lpstr>T</vt:lpstr>
      <vt:lpstr>tgear</vt:lpstr>
      <vt:lpstr>tgm</vt:lpstr>
      <vt:lpstr>theta_1</vt:lpstr>
      <vt:lpstr>Thetapingear</vt:lpstr>
      <vt:lpstr>tinsp</vt:lpstr>
      <vt:lpstr>Tlsbf</vt:lpstr>
      <vt:lpstr>tmcd</vt:lpstr>
      <vt:lpstr>tmof</vt:lpstr>
      <vt:lpstr>tpb</vt:lpstr>
      <vt:lpstr>trpf</vt:lpstr>
      <vt:lpstr>trtp</vt:lpstr>
      <vt:lpstr>Tstallsm</vt:lpstr>
      <vt:lpstr>Tstallsmm</vt:lpstr>
      <vt:lpstr>tt</vt:lpstr>
      <vt:lpstr>ttbt</vt:lpstr>
      <vt:lpstr>vone</vt:lpstr>
      <vt:lpstr>Vrbagsides</vt:lpstr>
      <vt:lpstr>vtwo</vt:lpstr>
      <vt:lpstr>w</vt:lpstr>
      <vt:lpstr>waboff</vt:lpstr>
      <vt:lpstr>wbearing</vt:lpstr>
      <vt:lpstr>wcf</vt:lpstr>
      <vt:lpstr>wfree34</vt:lpstr>
      <vt:lpstr>woac</vt:lpstr>
      <vt:lpstr>wob</vt:lpstr>
      <vt:lpstr>xpramp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2020-03-21T01:25:00Z</dcterms:created>
  <dcterms:modified xsi:type="dcterms:W3CDTF">2020-04-11T15:54:42Z</dcterms:modified>
</cp:coreProperties>
</file>